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15" tabRatio="331" firstSheet="1" activeTab="1"/>
  </bookViews>
  <sheets>
    <sheet name="MucLuc" sheetId="1" r:id="rId1"/>
    <sheet name="Ts" sheetId="2" r:id="rId2"/>
    <sheet name="Nhan cong" sheetId="3" r:id="rId3"/>
    <sheet name="BLthodkmay" sheetId="4" r:id="rId4"/>
    <sheet name="May thi cong" sheetId="5" r:id="rId5"/>
  </sheets>
  <definedNames>
    <definedName name="_xlnm._FilterDatabase" localSheetId="4" hidden="1">'May thi cong'!$A$7:$AA$1000</definedName>
    <definedName name="a129">{"Offgrid",#N/A,FALSE,"OFFGRID";"Region",#N/A,FALSE,"REGION";"Offgrid -2",#N/A,FALSE,"OFFGRID";"WTP",#N/A,FALSE,"WTP";"WTP -2",#N/A,FALSE,"WTP";"Project",#N/A,FALSE,"PROJECT";"Summary -2",#N/A,FALSE,"SUMMARY"}</definedName>
    <definedName name="a130">{"Offgrid",#N/A,FALSE,"OFFGRID";"Region",#N/A,FALSE,"REGION";"Offgrid -2",#N/A,FALSE,"OFFGRID";"WTP",#N/A,FALSE,"WTP";"WTP -2",#N/A,FALSE,"WTP";"Project",#N/A,FALSE,"PROJECT";"Summary -2",#N/A,FALSE,"SUMMARY"}</definedName>
    <definedName name="aaa">#REF!</definedName>
    <definedName name="code2">'Morong'!$A$12</definedName>
    <definedName name="code3">'Morong'!$A$16</definedName>
    <definedName name="code4">'Morong'!$A$20</definedName>
    <definedName name="dacbiet">'Ts'!$C$31</definedName>
    <definedName name="dien">'Ts'!$C$39</definedName>
    <definedName name="diezel">'Ts'!$C$35</definedName>
    <definedName name="dochai">'Ts'!$C$30</definedName>
    <definedName name="dongiangang">'Morong'!$A$8</definedName>
    <definedName name="khoantructiep">'Ts'!$C$26</definedName>
    <definedName name="KhongOndinhSX">'Ts'!$C$27</definedName>
    <definedName name="khuvuc">'Ts'!$C$28</definedName>
    <definedName name="LTT">'Nhan cong'!$E$5</definedName>
    <definedName name="luongphu">'Ts'!$C$25</definedName>
    <definedName name="luudong">'Ts'!$C$24</definedName>
    <definedName name="mazut">'Ts'!$C$36</definedName>
    <definedName name="message">TRUE</definedName>
    <definedName name="Nii3">'Nhan cong'!$M$38</definedName>
    <definedName name="Nii35">'Nhan cong'!$M$40</definedName>
    <definedName name="Nii4">'Nhan cong'!$M$42</definedName>
    <definedName name="Nii5">'Nhan cong'!$M$46</definedName>
    <definedName name="Nii6">'Nhan cong'!$M$49</definedName>
    <definedName name="Nii7">'Nhan cong'!$M$50</definedName>
    <definedName name="_xlnm.Print_Area" localSheetId="2">'Nhan cong'!$A$1:$M$351</definedName>
    <definedName name="_xlnm.Print_Area" localSheetId="1">'Ts'!$A$1:$C$40</definedName>
    <definedName name="thuhut">'Ts'!$C$29</definedName>
    <definedName name="TPCLTT">'Nhan cong'!$F$10</definedName>
    <definedName name="xang">'Ts'!$C$34</definedName>
  </definedNames>
  <calcPr fullCalcOnLoad="1"/>
</workbook>
</file>

<file path=xl/comments3.xml><?xml version="1.0" encoding="utf-8"?>
<comments xmlns="http://schemas.openxmlformats.org/spreadsheetml/2006/main">
  <authors>
    <author>Dự toán 2007</author>
  </authors>
  <commentList>
    <comment ref="A12" authorId="0">
      <text>
        <r>
          <rPr>
            <b/>
            <sz val="8"/>
            <rFont val="Tahoma"/>
            <family val="2"/>
          </rPr>
          <t>END</t>
        </r>
      </text>
    </comment>
  </commentList>
</comments>
</file>

<file path=xl/comments5.xml><?xml version="1.0" encoding="utf-8"?>
<comments xmlns="http://schemas.openxmlformats.org/spreadsheetml/2006/main">
  <authors>
    <author>Dự Toán XLS</author>
  </authors>
  <commentList>
    <comment ref="O318" authorId="0">
      <text>
        <r>
          <rPr>
            <sz val="9"/>
            <rFont val="Tahoma"/>
            <family val="2"/>
          </rPr>
          <t>39,4</t>
        </r>
      </text>
    </comment>
  </commentList>
</comments>
</file>

<file path=xl/sharedStrings.xml><?xml version="1.0" encoding="utf-8"?>
<sst xmlns="http://schemas.openxmlformats.org/spreadsheetml/2006/main" count="5771" uniqueCount="3855">
  <si>
    <t>Máy xuyên động RA-50 hoặc tương tự</t>
  </si>
  <si>
    <t>Biến thế thắp sáng</t>
  </si>
  <si>
    <t>Máy nén khí 660m3/h</t>
  </si>
  <si>
    <t>Máy nén khí 1260m3/h</t>
  </si>
  <si>
    <t>Máy UJ 18</t>
  </si>
  <si>
    <t>Máy kinh vĩ theo 020</t>
  </si>
  <si>
    <t>Máy theo 010A</t>
  </si>
  <si>
    <t>Đittomát</t>
  </si>
  <si>
    <t>Máy thủy bình Ni 030</t>
  </si>
  <si>
    <t>Máy thủy chuẩn Ni 004</t>
  </si>
  <si>
    <t>Bộ đo mia bala</t>
  </si>
  <si>
    <t>Bộ thiết bị khống chế mặt bằng GPS (3 máy)</t>
  </si>
  <si>
    <t>Thiết bị PIT (đo biến dạng nhỏ)</t>
  </si>
  <si>
    <t>Thiết bị siêu âm</t>
  </si>
  <si>
    <t>Máy địa chấn ES-125</t>
  </si>
  <si>
    <t>Máy cất nước</t>
  </si>
  <si>
    <t>Máy trộn xi măng</t>
  </si>
  <si>
    <t>Máy trộn dung dịch lỏng (máy đo đọ rung vữa)</t>
  </si>
  <si>
    <t>Máy cắt mẫu lớn 30x30cm</t>
  </si>
  <si>
    <t>Máy ép litvinop</t>
  </si>
  <si>
    <t>Máy ép mẫu đá bê tông</t>
  </si>
  <si>
    <t>Máy cắt mẫu vật liệu (bê tông gạch đá)</t>
  </si>
  <si>
    <t>Máy nén 1 trục</t>
  </si>
  <si>
    <t>Bộ phận cần ép mẫu thử gạch chịu lửa</t>
  </si>
  <si>
    <t>Máy Scaner khổ A0</t>
  </si>
  <si>
    <t>Máy vẽ Ploter</t>
  </si>
  <si>
    <t xml:space="preserve"> Bộ tạo nguồn 3 fa </t>
  </si>
  <si>
    <t>Rơ mooc 15T</t>
  </si>
  <si>
    <t>Rơ mooc 21T</t>
  </si>
  <si>
    <t>Rơ mooc 100T</t>
  </si>
  <si>
    <t>Rơ mooc 125T</t>
  </si>
  <si>
    <t>Sà lan 200T</t>
  </si>
  <si>
    <t>Sà lan công tác 250T</t>
  </si>
  <si>
    <t>Sà lan 300T</t>
  </si>
  <si>
    <t>Sà lan 600T</t>
  </si>
  <si>
    <t>Sà lan 1000T</t>
  </si>
  <si>
    <t>Phao thép 15T</t>
  </si>
  <si>
    <t>Phao thép 60T</t>
  </si>
  <si>
    <t>Phao thép 200T</t>
  </si>
  <si>
    <t>Phao 250T</t>
  </si>
  <si>
    <t>Xuồng cao tốc công suất 120C</t>
  </si>
  <si>
    <t>Xuồng cao tốc công suất 225C</t>
  </si>
  <si>
    <t>Bộ phao thả kè-trọng tải 137T 30&lt;L&lt;=70 m</t>
  </si>
  <si>
    <t>Bộ phao thả kè-trọng tải 190T L&gt;70 m</t>
  </si>
  <si>
    <t>Bộ máy khoan cby – 150 – zub hoặc loại tương tự</t>
  </si>
  <si>
    <t xml:space="preserve"> Bộ nguồn AC-DC</t>
  </si>
  <si>
    <t>Công tơ mẫu xách tay</t>
  </si>
  <si>
    <t xml:space="preserve"> Hộp bộ đo tgd Delta</t>
  </si>
  <si>
    <t xml:space="preserve"> Hợp bộ đo lường </t>
  </si>
  <si>
    <t xml:space="preserve"> Hợp bộ phân tích hàm lượng khí </t>
  </si>
  <si>
    <t xml:space="preserve"> Hợp bộ thí nghiệm cao áp </t>
  </si>
  <si>
    <t xml:space="preserve"> Hợp bộ thí nghiệm rơle </t>
  </si>
  <si>
    <t xml:space="preserve">Máy điều chỉnh điện áp 1pha </t>
  </si>
  <si>
    <t xml:space="preserve"> Máy đo độ A xít</t>
  </si>
  <si>
    <t xml:space="preserve"> Máy đo độ chớp cháy kín </t>
  </si>
  <si>
    <t xml:space="preserve">Máy đo độ nhớt </t>
  </si>
  <si>
    <t xml:space="preserve"> Máy đo điện áp xuyên thủng</t>
  </si>
  <si>
    <t>Máy đo điện trở một chiều</t>
  </si>
  <si>
    <t>Cầu đo tang dầu cách điện</t>
  </si>
  <si>
    <t xml:space="preserve"> Máy chụp sóng</t>
  </si>
  <si>
    <t>Kích thông tâm YCW-150T</t>
  </si>
  <si>
    <t>Kích thông tâm YCW-250T</t>
  </si>
  <si>
    <t>Kích đẩy liên tục ZLD-60</t>
  </si>
  <si>
    <t>Kích thông tâm YCW-500T</t>
  </si>
  <si>
    <t>Kích sợi đơn YDC-500T</t>
  </si>
  <si>
    <t>Kích thông tâm RRH-100T</t>
  </si>
  <si>
    <t>Kích thông tâm RRH-300T</t>
  </si>
  <si>
    <t>Máy bơm vữa 2m3/h</t>
  </si>
  <si>
    <t>Máy bơm vữa 4m3/h</t>
  </si>
  <si>
    <t>Máy bơm vữa 6m3/h</t>
  </si>
  <si>
    <t>Máy bơm vữa 9m3</t>
  </si>
  <si>
    <t>Trạm trộn bê tông 160m3/h</t>
  </si>
  <si>
    <t>Máy bơm bê tông 40-60m3/h</t>
  </si>
  <si>
    <t>Búa căn khí nén 3m3/h</t>
  </si>
  <si>
    <t>Máy  đo vạn năng</t>
  </si>
  <si>
    <t>Máy kiểm tra độ ổn định ô xy hoá dầu</t>
  </si>
  <si>
    <t>Thiết bị  kiểm tra áp lực</t>
  </si>
  <si>
    <t>Thiết bị  tạo dòng điện</t>
  </si>
  <si>
    <t>Mã hiệu 
(mới)</t>
  </si>
  <si>
    <t>Thùng cạp+đầu kéo bánh xích 2,5m3</t>
  </si>
  <si>
    <t>Thùng cạp+đầu kéo bánh xích 2,75m3</t>
  </si>
  <si>
    <t>Rơ mooc 4T</t>
  </si>
  <si>
    <t>Máy kéo bánh xích 110CV</t>
  </si>
  <si>
    <t>Cần trục ô tô 1T</t>
  </si>
  <si>
    <t>Cần trục ô tô 4T</t>
  </si>
  <si>
    <t>Cần trục ô tô 5T</t>
  </si>
  <si>
    <t>Cần trục ô tô 6T</t>
  </si>
  <si>
    <t>Cần trục bánh xích 10T</t>
  </si>
  <si>
    <t>Cần trục bánh xích 110T</t>
  </si>
  <si>
    <t>Cần trục tháp 25T</t>
  </si>
  <si>
    <t>Cần trục tháp 50T</t>
  </si>
  <si>
    <t>Bộ kích 10 T (6 kích 10 T)</t>
  </si>
  <si>
    <t>Trạm trộn bê tông asphan 25T/h</t>
  </si>
  <si>
    <t>Trạm trộn bê tông asphan 30T/h</t>
  </si>
  <si>
    <t>Trạm trộn bê tông asphan 50T/h (200m3/ca)</t>
  </si>
  <si>
    <t>Trạm trộn bê tông asphan 60T/h</t>
  </si>
  <si>
    <t>Trạm trộn bê tông asphan 80T/h</t>
  </si>
  <si>
    <t>Trạm trộn bê tông asphan 40T/h</t>
  </si>
  <si>
    <t>Máy rải cấp phối đá dăm 60m3/h</t>
  </si>
  <si>
    <t>Lò nấu sơn YHK3A</t>
  </si>
  <si>
    <t>Máy bơm nước 0,55kW</t>
  </si>
  <si>
    <t>Máy bơm nước 0,75kW</t>
  </si>
  <si>
    <t>Máy bơm nước 1,1kW</t>
  </si>
  <si>
    <t>Máy bơm nước 1,5kW</t>
  </si>
  <si>
    <t>Máy bơm nước 2kW</t>
  </si>
  <si>
    <t>Máy bơm nước 2,8kW</t>
  </si>
  <si>
    <t>Máy phát điện 122kW</t>
  </si>
  <si>
    <t>Máy nén khí diezel 5,5m3/h</t>
  </si>
  <si>
    <t>Máy nén khí điện 5m3/h</t>
  </si>
  <si>
    <t>Máy nén khí điện 10m3/h</t>
  </si>
  <si>
    <t>Máy nén khí điện 22m3/h</t>
  </si>
  <si>
    <t>Biến thế hàn 7,5kW</t>
  </si>
  <si>
    <t>Máy hàn diezel 27,5CV</t>
  </si>
  <si>
    <t>Máy khoan bê tông cầm tay 0,75kW</t>
  </si>
  <si>
    <t>Máy khoan bê tông cầm tay 0,85kW</t>
  </si>
  <si>
    <t>Máy khoan bê tông cầm tay 1,05kW</t>
  </si>
  <si>
    <t>Máy cắt bê tông 7,5kW</t>
  </si>
  <si>
    <t>Máy ghép mí 1,1kW0</t>
  </si>
  <si>
    <t>Búa diezel chạy trên ray 1,2T</t>
  </si>
  <si>
    <t>Búa diezel chạy trên ray 1,8T</t>
  </si>
  <si>
    <t>Các bảng 3.7 và 3.8 trích từ Thông tư số 04/2010/TT-BXD ngày 26/05/2010 của Bộ Xây Dựng.</t>
  </si>
  <si>
    <t>Đặc biệt</t>
  </si>
  <si>
    <t>Ca đêm</t>
  </si>
  <si>
    <t xml:space="preserve"> - Các khoản phụ cấp theo LTT:</t>
  </si>
  <si>
    <t>đồng/tháng</t>
  </si>
  <si>
    <t>Tổng các phụ cấp theo LTT</t>
  </si>
  <si>
    <t>TỔNG CÁC KHOẢN PHỤ CẤP THEO LTT</t>
  </si>
  <si>
    <t>PHỤ CẤP THEO LƯƠNG CẤP BẬC (LCB)</t>
  </si>
  <si>
    <t>Mức lương tối thiểu chung (LTTC)</t>
  </si>
  <si>
    <t>Mức lương tối thiểu vùng (LTTV)</t>
  </si>
  <si>
    <t xml:space="preserve"> - Mức lương tối thiểu chung (LTTC):</t>
  </si>
  <si>
    <t xml:space="preserve"> - Mức lương tối thiểu vùng (LTTV):</t>
  </si>
  <si>
    <t>TỔNG L+PC (đ/công)</t>
  </si>
  <si>
    <t>LƯƠNG CẤP BẬC (LCB=
HSLxLTTV) (đ/tháng)</t>
  </si>
  <si>
    <t>CÁC THÔNG SỐ BAN ĐẦU VỀ CÔNG TRÌNH</t>
  </si>
  <si>
    <t>Bảng các thông số ban đầu về công trình</t>
  </si>
  <si>
    <t>Bảng phụ lục vữa</t>
  </si>
  <si>
    <t>PLV</t>
  </si>
  <si>
    <t>Bảng tính dự phòng phí</t>
  </si>
  <si>
    <t>Gdp</t>
  </si>
  <si>
    <t>1 Thuyền trưởng 1/2+1 t.thủ 3/4</t>
  </si>
  <si>
    <t>M0625</t>
  </si>
  <si>
    <t>25 CV</t>
  </si>
  <si>
    <t>1 Thuyền trưởng 1/2+1 t.thủ 2/4</t>
  </si>
  <si>
    <t>M0626</t>
  </si>
  <si>
    <t>33 CV</t>
  </si>
  <si>
    <t>1 Thuyền trưởng 1/2
+1 máy I 1/2 + 1 thuỷ thủ 2/4</t>
  </si>
  <si>
    <t>M0627</t>
  </si>
  <si>
    <t>50 CV</t>
  </si>
  <si>
    <t>M0628</t>
  </si>
  <si>
    <t>1 Thuyền trưởng 1/2+ 1 thuyền phó I 1/2+ 1 máy I 1/2+1 Thợ máy 3/4+1 Thuỷ thủ 3/4</t>
  </si>
  <si>
    <t>M0629</t>
  </si>
  <si>
    <t>1 thuyền trưởng 1/2 + 1 thuyền phó I 1/2 + 1 máy I 1/2 + 2 thợ máy (1x3/4 + 1x2/4) + 2 thuỷ thủ (1x2/4 + 1x3/4)</t>
  </si>
  <si>
    <t>M0630</t>
  </si>
  <si>
    <t>Xuồng cao tốc - công suất:</t>
  </si>
  <si>
    <t>M0631</t>
  </si>
  <si>
    <t>1 Thuyền trưởng 1/2+ 1 thuỷ thủ 3/4</t>
  </si>
  <si>
    <t>M0632</t>
  </si>
  <si>
    <t>M0633</t>
  </si>
  <si>
    <t>M0634</t>
  </si>
  <si>
    <t>225 CV</t>
  </si>
  <si>
    <t>M0635</t>
  </si>
  <si>
    <t>Thiết bị lặn</t>
  </si>
  <si>
    <t>Xuồng vớt rác - công suất:</t>
  </si>
  <si>
    <t>M0636</t>
  </si>
  <si>
    <t>4 CV</t>
  </si>
  <si>
    <t>M0637</t>
  </si>
  <si>
    <t>24 CV</t>
  </si>
  <si>
    <t>Lò đốt rác y tế bằng gaz (chưa tính gaz) - công suất:</t>
  </si>
  <si>
    <t>M0638</t>
  </si>
  <si>
    <t>7 Tấn/ngày</t>
  </si>
  <si>
    <t>3x4/7+1x5/7</t>
  </si>
  <si>
    <t>C:\Du toan GXD\DG Ho Chi Minh.csv</t>
  </si>
  <si>
    <t>•</t>
  </si>
  <si>
    <t>C:\Du toan GXD\GVT Ho Chi Minh.csv</t>
  </si>
  <si>
    <t>C:\Du toan GXD\DM1776+1777+1779.csv</t>
  </si>
  <si>
    <t>C:\Du toan GXD\TDVT.csv</t>
  </si>
  <si>
    <t>C:\Du toan GXD\PLV.csv</t>
  </si>
  <si>
    <t xml:space="preserve">1x6/7+1x4/7+ 2x3/7  </t>
  </si>
  <si>
    <t>M0666</t>
  </si>
  <si>
    <t>1,25m3</t>
  </si>
  <si>
    <t>Máy quạt gió - công suất:</t>
  </si>
  <si>
    <t>M0667</t>
  </si>
  <si>
    <t>M0668</t>
  </si>
  <si>
    <t>4,5 kW (CBM - 5)</t>
  </si>
  <si>
    <t>Máy - thiết bị khoan và thăm dò khảo sát:</t>
  </si>
  <si>
    <t>M0669</t>
  </si>
  <si>
    <t>Bộ khoan tay</t>
  </si>
  <si>
    <t>M0670</t>
  </si>
  <si>
    <t>Bộ máy khoan cby-150-zub</t>
  </si>
  <si>
    <t>M0671</t>
  </si>
  <si>
    <t>Bộ nén ngang GA</t>
  </si>
  <si>
    <t>M0672</t>
  </si>
  <si>
    <t>Búa căn MO - 10 (chưa tính khí nén)</t>
  </si>
  <si>
    <t>M0673</t>
  </si>
  <si>
    <t>Búa khoan tay P30 (2,02 kW)</t>
  </si>
  <si>
    <t>M0674</t>
  </si>
  <si>
    <t xml:space="preserve">Thùng trục 0,5 m3 </t>
  </si>
  <si>
    <t>M0675</t>
  </si>
  <si>
    <t>Máy khoan F-60L</t>
  </si>
  <si>
    <t>M0676</t>
  </si>
  <si>
    <t>Máy xuyên động RA-50</t>
  </si>
  <si>
    <t>M0677</t>
  </si>
  <si>
    <t>Bộ dụng cụ đo độ xuyên động hình côn DCP</t>
  </si>
  <si>
    <t>M0678</t>
  </si>
  <si>
    <t>Máy xuyên tĩnh Gouda</t>
  </si>
  <si>
    <t>M0679</t>
  </si>
  <si>
    <t>Thiết bị đo ngẫu lực</t>
  </si>
  <si>
    <t>M0680</t>
  </si>
  <si>
    <t>Bộ dụng cụ thí nghiệm SPT</t>
  </si>
  <si>
    <t>M0681</t>
  </si>
  <si>
    <t xml:space="preserve"> Biến thế thắp sáng</t>
  </si>
  <si>
    <t>Máy nén khí hút nước thí nghiệm, thổi rửa lỗ khoan:</t>
  </si>
  <si>
    <t>M0682</t>
  </si>
  <si>
    <t>Máy nén khí DK9</t>
  </si>
  <si>
    <t>M0683</t>
  </si>
  <si>
    <t>Máy nén khí 660 m3/h</t>
  </si>
  <si>
    <t>M0684</t>
  </si>
  <si>
    <t>Máy nén khí 1260 m3/h</t>
  </si>
  <si>
    <t>Máy thăm dò địa vật lý:</t>
  </si>
  <si>
    <t>M0685</t>
  </si>
  <si>
    <t>Máy UJ-18</t>
  </si>
  <si>
    <t>M0686</t>
  </si>
  <si>
    <t>1 thuyền trưởng 2/2 + 1 thuyền phó 2/2 + 1 máy trưởng 2/2 + 1 máy hai 2/2 + 1 kỹ thuật viên cuốc I 2/2 + 3 kỹ thuật viên cuốc II 2/2 + 4 thợ máy (3x3/4 + 1x4/4) + 4 thuỷ thủ (3x3/4 + 1x4/4)</t>
  </si>
  <si>
    <t>Xáng cạp - dung tích gầu:</t>
  </si>
  <si>
    <t>M0664</t>
  </si>
  <si>
    <t>0,65m3</t>
  </si>
  <si>
    <t>1x5/7+1x4/7+2x3/7</t>
  </si>
  <si>
    <t>M0665</t>
  </si>
  <si>
    <t>1,00m3</t>
  </si>
  <si>
    <t>1x4/7+1x5/7</t>
  </si>
  <si>
    <t>M0049</t>
  </si>
  <si>
    <t xml:space="preserve"> 3 m3/ph</t>
  </si>
  <si>
    <t>M0050</t>
  </si>
  <si>
    <t xml:space="preserve"> 8 m3/ph</t>
  </si>
  <si>
    <t>Máy ủi - công suất:</t>
  </si>
  <si>
    <t>M0051</t>
  </si>
  <si>
    <t xml:space="preserve"> 45,0 CV</t>
  </si>
  <si>
    <t>M0052</t>
  </si>
  <si>
    <t xml:space="preserve"> 54,0 CV</t>
  </si>
  <si>
    <t>M0053</t>
  </si>
  <si>
    <t xml:space="preserve"> 75,0 CV</t>
  </si>
  <si>
    <t>M0054</t>
  </si>
  <si>
    <t xml:space="preserve"> 105,0 CV</t>
  </si>
  <si>
    <t>M0055</t>
  </si>
  <si>
    <t xml:space="preserve"> 108,0 CV</t>
  </si>
  <si>
    <t>M0056</t>
  </si>
  <si>
    <t xml:space="preserve"> 130,0 CV</t>
  </si>
  <si>
    <t>M0057</t>
  </si>
  <si>
    <t xml:space="preserve"> 140,0 CV</t>
  </si>
  <si>
    <t>M0058</t>
  </si>
  <si>
    <t xml:space="preserve"> 160,0 CV</t>
  </si>
  <si>
    <t>M0059</t>
  </si>
  <si>
    <t xml:space="preserve"> 180,0 CV</t>
  </si>
  <si>
    <t>M0060</t>
  </si>
  <si>
    <t xml:space="preserve"> 250,0 CV</t>
  </si>
  <si>
    <t>1x3/7+1x6/7</t>
  </si>
  <si>
    <t>M0061</t>
  </si>
  <si>
    <t xml:space="preserve"> 271,0 CV</t>
  </si>
  <si>
    <t>M0062</t>
  </si>
  <si>
    <t xml:space="preserve"> 320,0 CV</t>
  </si>
  <si>
    <t>1x3/7+1x7/7</t>
  </si>
  <si>
    <t xml:space="preserve">Thùng cạp + đầu kéo bánh xích - dung tích thùng: </t>
  </si>
  <si>
    <t>M0063</t>
  </si>
  <si>
    <t>M0064</t>
  </si>
  <si>
    <t xml:space="preserve"> 2,75 m3</t>
  </si>
  <si>
    <t>M0065</t>
  </si>
  <si>
    <t xml:space="preserve"> 3,00 m3</t>
  </si>
  <si>
    <t>M0066</t>
  </si>
  <si>
    <t xml:space="preserve"> 4,50 m3</t>
  </si>
  <si>
    <t>M0067</t>
  </si>
  <si>
    <t>M0068</t>
  </si>
  <si>
    <t>M0069</t>
  </si>
  <si>
    <t xml:space="preserve"> 9,00 m3</t>
  </si>
  <si>
    <t xml:space="preserve">Máy cạp tự hành - dung tích thùng: </t>
  </si>
  <si>
    <t>M0070</t>
  </si>
  <si>
    <t xml:space="preserve"> 9,0 m3</t>
  </si>
  <si>
    <t>M0071</t>
  </si>
  <si>
    <t xml:space="preserve"> 10,0 m3</t>
  </si>
  <si>
    <t>M0072</t>
  </si>
  <si>
    <t xml:space="preserve"> 16,0 m3</t>
  </si>
  <si>
    <t>M0073</t>
  </si>
  <si>
    <t xml:space="preserve"> 25,0 m3</t>
  </si>
  <si>
    <t>Máy san tự hành - công suất:</t>
  </si>
  <si>
    <t>M0074</t>
  </si>
  <si>
    <t xml:space="preserve"> 54,00 CV</t>
  </si>
  <si>
    <t>M0075</t>
  </si>
  <si>
    <t xml:space="preserve"> 90,00 CV</t>
  </si>
  <si>
    <t>M0076</t>
  </si>
  <si>
    <t>M0077</t>
  </si>
  <si>
    <t>M0078</t>
  </si>
  <si>
    <t xml:space="preserve">Máy đầm đất cầm tay - trọng lượng: </t>
  </si>
  <si>
    <t>M0079</t>
  </si>
  <si>
    <t xml:space="preserve"> 50 kg</t>
  </si>
  <si>
    <t>lít xăng</t>
  </si>
  <si>
    <t>1x3/7</t>
  </si>
  <si>
    <t>M0080</t>
  </si>
  <si>
    <t xml:space="preserve"> 60 kg</t>
  </si>
  <si>
    <t>M0081</t>
  </si>
  <si>
    <t xml:space="preserve"> 70 kg</t>
  </si>
  <si>
    <t>M0082</t>
  </si>
  <si>
    <t xml:space="preserve"> 80 kg</t>
  </si>
  <si>
    <t>Đầm bánh hơi + đầu kéo bánh xích - trọng lượng:</t>
  </si>
  <si>
    <t>M0083</t>
  </si>
  <si>
    <t xml:space="preserve"> 9,0 T</t>
  </si>
  <si>
    <t>M0084</t>
  </si>
  <si>
    <t xml:space="preserve"> 12,5 T</t>
  </si>
  <si>
    <t>M0085</t>
  </si>
  <si>
    <t xml:space="preserve"> 18,0 T</t>
  </si>
  <si>
    <t>M0086</t>
  </si>
  <si>
    <t xml:space="preserve"> 25,0 T</t>
  </si>
  <si>
    <t>1x5/7</t>
  </si>
  <si>
    <t>M0087</t>
  </si>
  <si>
    <t xml:space="preserve"> 26,5 T</t>
  </si>
  <si>
    <t>Đầm bánh hơi tự hành - trọng lượng:</t>
  </si>
  <si>
    <t>M0088</t>
  </si>
  <si>
    <t xml:space="preserve"> 9,0 T </t>
  </si>
  <si>
    <t>M0089</t>
  </si>
  <si>
    <t xml:space="preserve"> 16,0 T </t>
  </si>
  <si>
    <t>M0090</t>
  </si>
  <si>
    <t xml:space="preserve"> 17,5 T</t>
  </si>
  <si>
    <t>M0091</t>
  </si>
  <si>
    <t>Máy đầm rung tự hành - trọng lượng:</t>
  </si>
  <si>
    <t>M0092</t>
  </si>
  <si>
    <t xml:space="preserve"> 8 T</t>
  </si>
  <si>
    <t>M0093</t>
  </si>
  <si>
    <t xml:space="preserve"> 15T</t>
  </si>
  <si>
    <t>M0094</t>
  </si>
  <si>
    <t xml:space="preserve"> 18T</t>
  </si>
  <si>
    <t>M0095</t>
  </si>
  <si>
    <t xml:space="preserve"> 25T</t>
  </si>
  <si>
    <t xml:space="preserve">Đầm chân cừu + đầu kéo - trọng lượng: </t>
  </si>
  <si>
    <t>M0096</t>
  </si>
  <si>
    <t xml:space="preserve"> 5,5 T</t>
  </si>
  <si>
    <t>M0097</t>
  </si>
  <si>
    <t>Đầm bánh thép tự hành - trọng lượng:</t>
  </si>
  <si>
    <t>M0098</t>
  </si>
  <si>
    <t xml:space="preserve"> 8,50 T</t>
  </si>
  <si>
    <t>M0099</t>
  </si>
  <si>
    <t xml:space="preserve"> 10,0 T</t>
  </si>
  <si>
    <t>M0100</t>
  </si>
  <si>
    <t xml:space="preserve"> 12,2 T</t>
  </si>
  <si>
    <t>M0101</t>
  </si>
  <si>
    <t xml:space="preserve"> 13,0 T</t>
  </si>
  <si>
    <t>M0102</t>
  </si>
  <si>
    <t xml:space="preserve"> 14,5 T</t>
  </si>
  <si>
    <t>M0103</t>
  </si>
  <si>
    <t xml:space="preserve"> 15,5 T</t>
  </si>
  <si>
    <t>Máy lu rung không tự hành (quả đầm 16 T) - trọng lượng:</t>
  </si>
  <si>
    <t>M0104</t>
  </si>
  <si>
    <t>10 T</t>
  </si>
  <si>
    <t>Ô tô vận tải thùng - trọng tải:</t>
  </si>
  <si>
    <t>M0105</t>
  </si>
  <si>
    <t xml:space="preserve"> 2,0 T</t>
  </si>
  <si>
    <t>1x2/4 Loại &lt; 3,5 Tấn</t>
  </si>
  <si>
    <t>M0106</t>
  </si>
  <si>
    <t xml:space="preserve"> 2,5 T</t>
  </si>
  <si>
    <t>1x3/4 Loại &lt; 3,5 Tấn</t>
  </si>
  <si>
    <t>M0107</t>
  </si>
  <si>
    <t xml:space="preserve"> 4,0 T</t>
  </si>
  <si>
    <t>1x2/4 Loại  3,5 - 7,5 Tấn</t>
  </si>
  <si>
    <t>M0108</t>
  </si>
  <si>
    <t xml:space="preserve"> 5,0 T</t>
  </si>
  <si>
    <t>M0109</t>
  </si>
  <si>
    <t xml:space="preserve"> 6,0 T</t>
  </si>
  <si>
    <t>1x3/4 Loại  3,5 - 7,5 Tấn</t>
  </si>
  <si>
    <t>M0110</t>
  </si>
  <si>
    <t xml:space="preserve"> 7,0 T</t>
  </si>
  <si>
    <t>M0111</t>
  </si>
  <si>
    <t>1x2/4  Loại  7,5 -16,5 Tấn</t>
  </si>
  <si>
    <t>M0112</t>
  </si>
  <si>
    <t xml:space="preserve"> 12,0 T</t>
  </si>
  <si>
    <t>1x3/4 Loại  7,5 -16,5 Tấn</t>
  </si>
  <si>
    <t>M0113</t>
  </si>
  <si>
    <t>M0114</t>
  </si>
  <si>
    <t xml:space="preserve"> 15,0 T</t>
  </si>
  <si>
    <t>M0115</t>
  </si>
  <si>
    <t xml:space="preserve"> 20,0 T</t>
  </si>
  <si>
    <t>Bảng tính giá vật liệu đến hiện trường</t>
  </si>
  <si>
    <t>Gia VLHT</t>
  </si>
  <si>
    <t>M0715</t>
  </si>
  <si>
    <t>Cân bàn</t>
  </si>
  <si>
    <t>M0716</t>
  </si>
  <si>
    <t>Cân thuỷ tĩnh</t>
  </si>
  <si>
    <t>M0717</t>
  </si>
  <si>
    <t>Lò nung</t>
  </si>
  <si>
    <t>M0718</t>
  </si>
  <si>
    <t>Tủ sấy</t>
  </si>
  <si>
    <t>M0719</t>
  </si>
  <si>
    <t>Tủ hút độc</t>
  </si>
  <si>
    <t>M0720</t>
  </si>
  <si>
    <t>Tủ lạnh</t>
  </si>
  <si>
    <t>M0721</t>
  </si>
  <si>
    <t>Máy hút chân không</t>
  </si>
  <si>
    <t>M0722</t>
  </si>
  <si>
    <t>Máy hút ẩm OASIS-America</t>
  </si>
  <si>
    <t>M0723</t>
  </si>
  <si>
    <t>Bếp điện (0,6 kW)</t>
  </si>
  <si>
    <t>M0724</t>
  </si>
  <si>
    <t>Bếp cát</t>
  </si>
  <si>
    <t>M0725</t>
  </si>
  <si>
    <t>Máy chưng cất nước</t>
  </si>
  <si>
    <t>M0726</t>
  </si>
  <si>
    <t>Máy trộn đất</t>
  </si>
  <si>
    <t>M0727</t>
  </si>
  <si>
    <t>Máy trộn xi măng, dung tích 5 lít</t>
  </si>
  <si>
    <t>M0728</t>
  </si>
  <si>
    <t>Máy trộn dung dịch lỏng (máy đo độ rung vữa)</t>
  </si>
  <si>
    <t>M0729</t>
  </si>
  <si>
    <t>Máy đầm tiêu chuẩn (đầm rung)</t>
  </si>
  <si>
    <t>M0730</t>
  </si>
  <si>
    <t>Máy cắt đất</t>
  </si>
  <si>
    <t>M0731</t>
  </si>
  <si>
    <t>Máy cắt mẫu lớn (30x30)cm</t>
  </si>
  <si>
    <t>M0732</t>
  </si>
  <si>
    <t>Máy cắt ứng biến</t>
  </si>
  <si>
    <t>M0733</t>
  </si>
  <si>
    <t>Máy ép 3 trục</t>
  </si>
  <si>
    <t>M0734</t>
  </si>
  <si>
    <t>Máy ép litvinốp</t>
  </si>
  <si>
    <t>M0735</t>
  </si>
  <si>
    <t>Kích tháo mẫu</t>
  </si>
  <si>
    <t>M0736</t>
  </si>
  <si>
    <t>Máy ép mẫu đá, bê tông</t>
  </si>
  <si>
    <t>M0737</t>
  </si>
  <si>
    <t>Máy cắt mẫu vật liệu (bê tông, gạch, đá)</t>
  </si>
  <si>
    <t>M0738</t>
  </si>
  <si>
    <t>Máy khoan mẫu đá</t>
  </si>
  <si>
    <t>M0739</t>
  </si>
  <si>
    <t>Máy mài thử độ mài mòn</t>
  </si>
  <si>
    <t>M0740</t>
  </si>
  <si>
    <t xml:space="preserve">Máy đào một gầu, bánh xích, động cơ điện - dung tích gầu: </t>
  </si>
  <si>
    <t>M0020</t>
  </si>
  <si>
    <t>kWh</t>
  </si>
  <si>
    <t>M0021</t>
  </si>
  <si>
    <t xml:space="preserve"> 4,00 m3</t>
  </si>
  <si>
    <t>M0022</t>
  </si>
  <si>
    <t xml:space="preserve"> 4,60 m3</t>
  </si>
  <si>
    <t>M0023</t>
  </si>
  <si>
    <t xml:space="preserve"> 5,00 m3</t>
  </si>
  <si>
    <t>M0024</t>
  </si>
  <si>
    <t xml:space="preserve"> 8,00 m3</t>
  </si>
  <si>
    <t>Máy đào một gầu, bánh hơi - dung tích gầu:</t>
  </si>
  <si>
    <t>M0025</t>
  </si>
  <si>
    <t xml:space="preserve"> 0,15 m3</t>
  </si>
  <si>
    <t>M0026</t>
  </si>
  <si>
    <t>M0027</t>
  </si>
  <si>
    <t xml:space="preserve"> 0,75 m3</t>
  </si>
  <si>
    <t>M0028</t>
  </si>
  <si>
    <t>Máy đào gầu ngoạm (gầu dây) -dung tích gầu:</t>
  </si>
  <si>
    <t>M0029</t>
  </si>
  <si>
    <t>M0030</t>
  </si>
  <si>
    <t>M0031</t>
  </si>
  <si>
    <t>M0032</t>
  </si>
  <si>
    <t>M0033</t>
  </si>
  <si>
    <t>M0034</t>
  </si>
  <si>
    <t>Máy xúc lật - dung tích gầu:</t>
  </si>
  <si>
    <t>M0035</t>
  </si>
  <si>
    <t xml:space="preserve"> 0,60 m3</t>
  </si>
  <si>
    <t>M0036</t>
  </si>
  <si>
    <t>M0037</t>
  </si>
  <si>
    <t>M0038</t>
  </si>
  <si>
    <t xml:space="preserve"> 1,65 m3</t>
  </si>
  <si>
    <t>M0039</t>
  </si>
  <si>
    <t>M0040</t>
  </si>
  <si>
    <t>M0041</t>
  </si>
  <si>
    <t xml:space="preserve"> 2,80 m3</t>
  </si>
  <si>
    <t>M0042</t>
  </si>
  <si>
    <t xml:space="preserve"> 3,20 m3</t>
  </si>
  <si>
    <t>M0043</t>
  </si>
  <si>
    <t xml:space="preserve"> 4,20 m3</t>
  </si>
  <si>
    <t>M0044</t>
  </si>
  <si>
    <t>Gầu đào 2800x600x7000 (thi công móng cọc, tường Barrette)</t>
  </si>
  <si>
    <t>Máy xúc chuyên dùng trong hầm - dung tích gầu:</t>
  </si>
  <si>
    <t>M0045</t>
  </si>
  <si>
    <t xml:space="preserve"> 0,90 m3</t>
  </si>
  <si>
    <t>M0046</t>
  </si>
  <si>
    <t>M0047</t>
  </si>
  <si>
    <t>Máy cào đá, động cơ điện - năng suất:</t>
  </si>
  <si>
    <t>M0048</t>
  </si>
  <si>
    <t xml:space="preserve"> 2 m3/ph</t>
  </si>
  <si>
    <t>Máy dò vị trí cốt thép</t>
  </si>
  <si>
    <t>M0791</t>
  </si>
  <si>
    <t>Máy siêu âm kiểm tra chất lượng mối hàn</t>
  </si>
  <si>
    <t>M0792</t>
  </si>
  <si>
    <t>Máy siêu âm kiểm tra cường độ bê tông của cấu kiện bê tông, bê tông cốt thép tại hiện trường</t>
  </si>
  <si>
    <t>M0793</t>
  </si>
  <si>
    <t>Súng bi</t>
  </si>
  <si>
    <t>M0794</t>
  </si>
  <si>
    <t>Máy tính chuyên dùng:</t>
  </si>
  <si>
    <t>M0795</t>
  </si>
  <si>
    <t xml:space="preserve">Máy scanner (khổ Ao) </t>
  </si>
  <si>
    <t>M0796</t>
  </si>
  <si>
    <t>Máy vẽ plotter</t>
  </si>
  <si>
    <t>M0797</t>
  </si>
  <si>
    <t>Máy vi tính</t>
  </si>
  <si>
    <t>M0798</t>
  </si>
  <si>
    <t>Máy tính xách tay</t>
  </si>
  <si>
    <t>Máy thí nghiệm điện đường dây và trạm biến áp</t>
  </si>
  <si>
    <t>M0800</t>
  </si>
  <si>
    <t>Bộ tạo nguồn 3 fa</t>
  </si>
  <si>
    <t>M0801</t>
  </si>
  <si>
    <t>Bộ tạo nguồn AC-DC</t>
  </si>
  <si>
    <t>M0802</t>
  </si>
  <si>
    <t xml:space="preserve">Công tơ mẫu xách tay </t>
  </si>
  <si>
    <t>M0803</t>
  </si>
  <si>
    <t>Hộp bộ đo tgd Delta</t>
  </si>
  <si>
    <t>M0804</t>
  </si>
  <si>
    <t>Hộp bộ đo lường</t>
  </si>
  <si>
    <t>M0805</t>
  </si>
  <si>
    <t>Hộp bộ phân tích hàm lượng khí</t>
  </si>
  <si>
    <t>M0806</t>
  </si>
  <si>
    <t xml:space="preserve">Hộp bộ thí nghiệm cao áp </t>
  </si>
  <si>
    <t>M0807</t>
  </si>
  <si>
    <t>Hộp bộ thí nghiệm rơle</t>
  </si>
  <si>
    <t>M0808</t>
  </si>
  <si>
    <t>Máy điều chỉnh điện áp 1 fa</t>
  </si>
  <si>
    <t>M0809</t>
  </si>
  <si>
    <t>Máy đo độ Axit</t>
  </si>
  <si>
    <t>M0810</t>
  </si>
  <si>
    <t xml:space="preserve">Máy đo độ chớp nháy kín </t>
  </si>
  <si>
    <t>M0811</t>
  </si>
  <si>
    <t>Máy đo độ nhớt</t>
  </si>
  <si>
    <t>M0812</t>
  </si>
  <si>
    <t>Máy đo điện áp xuyên thủng</t>
  </si>
  <si>
    <t>M0813</t>
  </si>
  <si>
    <t xml:space="preserve">Máy đo điện trở 1 chiều </t>
  </si>
  <si>
    <t>M0814</t>
  </si>
  <si>
    <t>Máy đo điện trở tiếp địa</t>
  </si>
  <si>
    <t>M0815</t>
  </si>
  <si>
    <t>Máy đo điện trở tiếp xúc</t>
  </si>
  <si>
    <t>M0816</t>
  </si>
  <si>
    <t>Câù đo tang dầu cách điện</t>
  </si>
  <si>
    <t>M0817</t>
  </si>
  <si>
    <t>Máy đo tỷ trọng</t>
  </si>
  <si>
    <t>M0818</t>
  </si>
  <si>
    <t>Máy đo van  năng</t>
  </si>
  <si>
    <t>M0819</t>
  </si>
  <si>
    <t>Máy chụp sóng</t>
  </si>
  <si>
    <t>M0820</t>
  </si>
  <si>
    <t>Máy đo độ tra độ ổn định ô xy hóa dầu</t>
  </si>
  <si>
    <t>M0821</t>
  </si>
  <si>
    <t>Máy phát tần số</t>
  </si>
  <si>
    <t>M0822</t>
  </si>
  <si>
    <t>Máy phân tích độ ẩm khí SF6</t>
  </si>
  <si>
    <t>M0823</t>
  </si>
  <si>
    <t>M0824</t>
  </si>
  <si>
    <t>Máy đo vi lượng ẩm</t>
  </si>
  <si>
    <t>M0825</t>
  </si>
  <si>
    <t>Mê gôm mét</t>
  </si>
  <si>
    <t>M0826</t>
  </si>
  <si>
    <t>Thiết bị kiểm tra áp lực</t>
  </si>
  <si>
    <t>M0827</t>
  </si>
  <si>
    <t>Thiết bị tạo dòng điện</t>
  </si>
  <si>
    <t>I. BẢNG LƯƠNG CÔNG NHÂN XDCB. A1 (THEO NGHỊ ĐỊNH 205/2004/NĐ - CP NGÀY 14/12/2004)</t>
  </si>
  <si>
    <t>Nhóm I</t>
  </si>
  <si>
    <t>N24207</t>
  </si>
  <si>
    <t>N24257</t>
  </si>
  <si>
    <t>N24277</t>
  </si>
  <si>
    <t>N24037</t>
  </si>
  <si>
    <t>N24327</t>
  </si>
  <si>
    <t>N24337</t>
  </si>
  <si>
    <t>N24357</t>
  </si>
  <si>
    <t>N24377</t>
  </si>
  <si>
    <t>N24407</t>
  </si>
  <si>
    <t>N24437</t>
  </si>
  <si>
    <t>N24457</t>
  </si>
  <si>
    <t>N24507</t>
  </si>
  <si>
    <t>N1707</t>
  </si>
  <si>
    <t>Nhóm II</t>
  </si>
  <si>
    <t>N2707</t>
  </si>
  <si>
    <t>Nhóm III</t>
  </si>
  <si>
    <t>N33357</t>
  </si>
  <si>
    <t>N33407</t>
  </si>
  <si>
    <t>N3437</t>
  </si>
  <si>
    <t>N33457</t>
  </si>
  <si>
    <t>N33507</t>
  </si>
  <si>
    <t>N3707</t>
  </si>
  <si>
    <t>II. BẢNG LƯƠNG THỢ LẶN</t>
  </si>
  <si>
    <t xml:space="preserve">B.12. BẢNG LƯƠNG CÔNG NHÂN LÁI XE </t>
  </si>
  <si>
    <t>1. Xe con, xe tắc xi, xe tải, xe cẩu dưới 3,5 tấn, xe khách dưới 20 ghế</t>
  </si>
  <si>
    <t>2. Xe tải, xe cẩu từ 3,5 tấn đến dưới 7,5 tấn, xe khách từ 20 ghế đến dưới 40 ghế</t>
  </si>
  <si>
    <t>3. Xe tải, xe cẩu từ 7,5 tấn đến dưới 16,5 tấn, xe khách từ 40 ghế đến dưới 60 ghế</t>
  </si>
  <si>
    <t>4. Xe tải, xe cẩu từ 16,5 tấn đến dưới 25 tấn, xe khách từ 60 ghế đến dưới 80 ghế</t>
  </si>
  <si>
    <t>5. Xe tải, xe cẩu từ 25 tấn đến dưới 40 tấn, xe khách từ 80 ghế trở lên</t>
  </si>
  <si>
    <t>C24-1075</t>
  </si>
  <si>
    <t>C24-1076</t>
  </si>
  <si>
    <t>C24-1077</t>
  </si>
  <si>
    <t>C24-1078</t>
  </si>
  <si>
    <t>C24-1079</t>
  </si>
  <si>
    <t>C24-1080</t>
  </si>
  <si>
    <t>C24-1081</t>
  </si>
  <si>
    <t>C24-1082</t>
  </si>
  <si>
    <t>C24-1083</t>
  </si>
  <si>
    <t>C24-1084</t>
  </si>
  <si>
    <t>C24-1085</t>
  </si>
  <si>
    <t>C24-1086</t>
  </si>
  <si>
    <t>C24-1087</t>
  </si>
  <si>
    <t>C24-1088</t>
  </si>
  <si>
    <t>C24-1089</t>
  </si>
  <si>
    <t>C24-1090</t>
  </si>
  <si>
    <t>C24-1091</t>
  </si>
  <si>
    <t>C24-1099</t>
  </si>
  <si>
    <t>C24-1100</t>
  </si>
  <si>
    <t>C24-1101</t>
  </si>
  <si>
    <t>C24-1102</t>
  </si>
  <si>
    <t>C24-1103</t>
  </si>
  <si>
    <t>C24-1109</t>
  </si>
  <si>
    <t>C24-1110</t>
  </si>
  <si>
    <t>C24-1112</t>
  </si>
  <si>
    <t>C24-1113</t>
  </si>
  <si>
    <t>C24-1114</t>
  </si>
  <si>
    <t>C24-1115</t>
  </si>
  <si>
    <t>C24-1116</t>
  </si>
  <si>
    <t>C24-1117</t>
  </si>
  <si>
    <t>C24-1119</t>
  </si>
  <si>
    <t>C24-1120</t>
  </si>
  <si>
    <t>C24-1121</t>
  </si>
  <si>
    <t>C24-1122</t>
  </si>
  <si>
    <t>C24-1123</t>
  </si>
  <si>
    <t>C24-1125</t>
  </si>
  <si>
    <t>C24-1127</t>
  </si>
  <si>
    <t>C24-1129</t>
  </si>
  <si>
    <t>C24-1130</t>
  </si>
  <si>
    <t>C24-1131</t>
  </si>
  <si>
    <t>C24-1134</t>
  </si>
  <si>
    <t>C24-1135</t>
  </si>
  <si>
    <t>C24-1136</t>
  </si>
  <si>
    <t>C24-1137</t>
  </si>
  <si>
    <t>C24-1138</t>
  </si>
  <si>
    <t>C24-1139</t>
  </si>
  <si>
    <t>C24-1140</t>
  </si>
  <si>
    <t>C24-1141</t>
  </si>
  <si>
    <t>C24-1142</t>
  </si>
  <si>
    <t>C24-1143</t>
  </si>
  <si>
    <t>C24-1144</t>
  </si>
  <si>
    <t>C24-1145</t>
  </si>
  <si>
    <t>C24-1146</t>
  </si>
  <si>
    <t>C24-1148</t>
  </si>
  <si>
    <t>C24-1149</t>
  </si>
  <si>
    <t>C24-1150</t>
  </si>
  <si>
    <t>C24-1151</t>
  </si>
  <si>
    <t>C24-1154</t>
  </si>
  <si>
    <t>C24-1155</t>
  </si>
  <si>
    <t>C24-1156</t>
  </si>
  <si>
    <t>C24-1157</t>
  </si>
  <si>
    <t>C24-1158</t>
  </si>
  <si>
    <t>C24-1159</t>
  </si>
  <si>
    <t>C24-1160</t>
  </si>
  <si>
    <t>C24-1161</t>
  </si>
  <si>
    <t>C24-1162</t>
  </si>
  <si>
    <t>C24-1163</t>
  </si>
  <si>
    <t>C24-1164</t>
  </si>
  <si>
    <t>C24-1168</t>
  </si>
  <si>
    <t>C24-1169</t>
  </si>
  <si>
    <t>C24-1170</t>
  </si>
  <si>
    <t>C24-1171</t>
  </si>
  <si>
    <t>C24-1172</t>
  </si>
  <si>
    <t>C24-1173</t>
  </si>
  <si>
    <t>C24-1174</t>
  </si>
  <si>
    <t>C24-1177</t>
  </si>
  <si>
    <t>C24-1178</t>
  </si>
  <si>
    <t>C24-1179</t>
  </si>
  <si>
    <t>C24-1182</t>
  </si>
  <si>
    <t>C24-1183</t>
  </si>
  <si>
    <t>C24-1184</t>
  </si>
  <si>
    <t>C24-1185</t>
  </si>
  <si>
    <t>C24-1186</t>
  </si>
  <si>
    <t>C24-1187</t>
  </si>
  <si>
    <t>C24-1188</t>
  </si>
  <si>
    <t>C24-1190</t>
  </si>
  <si>
    <t>C24-1191</t>
  </si>
  <si>
    <t>C24-1192</t>
  </si>
  <si>
    <t>C24-1193</t>
  </si>
  <si>
    <t>C24-1199</t>
  </si>
  <si>
    <t>C24-1200</t>
  </si>
  <si>
    <t>C24-1201</t>
  </si>
  <si>
    <t>C24-1202</t>
  </si>
  <si>
    <t>C24-1203</t>
  </si>
  <si>
    <t>C24-1204</t>
  </si>
  <si>
    <t>C24-1205</t>
  </si>
  <si>
    <t>C24-1206</t>
  </si>
  <si>
    <t>C24-1207</t>
  </si>
  <si>
    <t>C24-1208</t>
  </si>
  <si>
    <t>C24-1209</t>
  </si>
  <si>
    <t>C24-1210</t>
  </si>
  <si>
    <t>C24-1214</t>
  </si>
  <si>
    <t>C24-1215</t>
  </si>
  <si>
    <t>C24-1217</t>
  </si>
  <si>
    <t>C24-1218</t>
  </si>
  <si>
    <t>C24-1219</t>
  </si>
  <si>
    <t>C24-1221</t>
  </si>
  <si>
    <t>C24-1222</t>
  </si>
  <si>
    <t>C24-1224</t>
  </si>
  <si>
    <t>C24-1225</t>
  </si>
  <si>
    <t>C24-1226</t>
  </si>
  <si>
    <t>C24-1228</t>
  </si>
  <si>
    <t>C24-1230</t>
  </si>
  <si>
    <t>C24-1231</t>
  </si>
  <si>
    <t>C24-1232</t>
  </si>
  <si>
    <t>C24-1233</t>
  </si>
  <si>
    <t>C24-1234</t>
  </si>
  <si>
    <t>C24-1235</t>
  </si>
  <si>
    <t>C24-1237</t>
  </si>
  <si>
    <t>C24-1238</t>
  </si>
  <si>
    <t>C24-1239</t>
  </si>
  <si>
    <t>C24-1240</t>
  </si>
  <si>
    <t>C24-1241</t>
  </si>
  <si>
    <t>C24-1242</t>
  </si>
  <si>
    <t>C24-1243</t>
  </si>
  <si>
    <t>C24-1244</t>
  </si>
  <si>
    <t>C24-1245</t>
  </si>
  <si>
    <t>C24-1246</t>
  </si>
  <si>
    <t>C24-1247</t>
  </si>
  <si>
    <t>C24-1248</t>
  </si>
  <si>
    <t>C24-1249</t>
  </si>
  <si>
    <t>C24-1250</t>
  </si>
  <si>
    <t>C24-1251</t>
  </si>
  <si>
    <t>C33-1102</t>
  </si>
  <si>
    <t>C33-1103</t>
  </si>
  <si>
    <t>C33-1104</t>
  </si>
  <si>
    <t>C33-1105</t>
  </si>
  <si>
    <t>C33-1115</t>
  </si>
  <si>
    <t>C33-1116</t>
  </si>
  <si>
    <t>C33-1117</t>
  </si>
  <si>
    <t>C33-1118</t>
  </si>
  <si>
    <t>C33-1119</t>
  </si>
  <si>
    <t>C33-1120</t>
  </si>
  <si>
    <t>C33-1121</t>
  </si>
  <si>
    <t>C33-1122</t>
  </si>
  <si>
    <t>C33-1123</t>
  </si>
  <si>
    <t>C33-1124</t>
  </si>
  <si>
    <t>C33-1125</t>
  </si>
  <si>
    <t>C33-1126</t>
  </si>
  <si>
    <t>C33-1129</t>
  </si>
  <si>
    <t>C33-1130</t>
  </si>
  <si>
    <t>C33-1132</t>
  </si>
  <si>
    <t>C33-1133</t>
  </si>
  <si>
    <t>C28-1001</t>
  </si>
  <si>
    <t>C28-1002</t>
  </si>
  <si>
    <t>C28-1003</t>
  </si>
  <si>
    <t>C28-1004</t>
  </si>
  <si>
    <t>C28-1005</t>
  </si>
  <si>
    <t>C28-1007</t>
  </si>
  <si>
    <t>C28-1013</t>
  </si>
  <si>
    <t>C28-1014</t>
  </si>
  <si>
    <t>C28-1015</t>
  </si>
  <si>
    <t>C28-1016</t>
  </si>
  <si>
    <t>C28-1017</t>
  </si>
  <si>
    <t>C28-1018</t>
  </si>
  <si>
    <t>C28-1019</t>
  </si>
  <si>
    <t>C28-1020</t>
  </si>
  <si>
    <t>C28-1022</t>
  </si>
  <si>
    <t>C28-1025</t>
  </si>
  <si>
    <t>C28-1026</t>
  </si>
  <si>
    <t>C28-1030</t>
  </si>
  <si>
    <t>C28-1033</t>
  </si>
  <si>
    <t>C28-1034</t>
  </si>
  <si>
    <t>C28-1035</t>
  </si>
  <si>
    <t>C28-1040</t>
  </si>
  <si>
    <t>C28-1041</t>
  </si>
  <si>
    <t>C28-1042</t>
  </si>
  <si>
    <t>C28-1043</t>
  </si>
  <si>
    <t>C28-1045</t>
  </si>
  <si>
    <t>C28-1046</t>
  </si>
  <si>
    <t>C28-1048</t>
  </si>
  <si>
    <t>C28-1050</t>
  </si>
  <si>
    <t>C28-1051</t>
  </si>
  <si>
    <t>C28-1056</t>
  </si>
  <si>
    <t>C28-1058</t>
  </si>
  <si>
    <t>C28-1059</t>
  </si>
  <si>
    <t>C28-1062</t>
  </si>
  <si>
    <t>C28-1063</t>
  </si>
  <si>
    <t>C28-1066</t>
  </si>
  <si>
    <t>C28-1067</t>
  </si>
  <si>
    <t>C28-1068</t>
  </si>
  <si>
    <t>C28-1070</t>
  </si>
  <si>
    <t>C28-1072</t>
  </si>
  <si>
    <t>C28-1074</t>
  </si>
  <si>
    <t>C28-1075</t>
  </si>
  <si>
    <t>C28-1077</t>
  </si>
  <si>
    <t>C28-1081</t>
  </si>
  <si>
    <t>C28-1083</t>
  </si>
  <si>
    <t>C28-1084</t>
  </si>
  <si>
    <t>C28-1085</t>
  </si>
  <si>
    <t>C28-1086</t>
  </si>
  <si>
    <t>C28-1092</t>
  </si>
  <si>
    <t>C28-1093</t>
  </si>
  <si>
    <t>C28-1094</t>
  </si>
  <si>
    <t>C28-1095</t>
  </si>
  <si>
    <t>C28-1097</t>
  </si>
  <si>
    <t>C28-1098</t>
  </si>
  <si>
    <t>C28-1099</t>
  </si>
  <si>
    <t>M0952</t>
  </si>
  <si>
    <t>Kích 30T</t>
  </si>
  <si>
    <t>M0956</t>
  </si>
  <si>
    <t>Kích 50T</t>
  </si>
  <si>
    <t>M0948</t>
  </si>
  <si>
    <t>Kích 100T</t>
  </si>
  <si>
    <t>M0966</t>
  </si>
  <si>
    <t>Kích nâng 200T</t>
  </si>
  <si>
    <t>M0950</t>
  </si>
  <si>
    <t>Kích 250T</t>
  </si>
  <si>
    <t>M0954</t>
  </si>
  <si>
    <t>Kích 500T</t>
  </si>
  <si>
    <t>Máy thăm dò MF-2-100</t>
  </si>
  <si>
    <t>M3104</t>
  </si>
  <si>
    <t>M3112</t>
  </si>
  <si>
    <t>Máy thủy bình NA720</t>
  </si>
  <si>
    <t>Máy đào một gầu bánh xích 0,8m3</t>
  </si>
  <si>
    <t>Máy đào một gầu bánh xích 2,3m3</t>
  </si>
  <si>
    <t>M1098</t>
  </si>
  <si>
    <t>Máy đào gầu dây 0,4m3</t>
  </si>
  <si>
    <t>M1104</t>
  </si>
  <si>
    <t>Máy đào gầu ngoạm (gầu dây) 0,65m3</t>
  </si>
  <si>
    <t>M1100</t>
  </si>
  <si>
    <t>Máy đào gầu dây 1,6m3</t>
  </si>
  <si>
    <t>M0886</t>
  </si>
  <si>
    <t>VÙNG II</t>
  </si>
  <si>
    <t>VÙNG III</t>
  </si>
  <si>
    <t>VÙNG IV</t>
  </si>
  <si>
    <t xml:space="preserve"> 125,0 T</t>
  </si>
  <si>
    <t xml:space="preserve">Máy kéo bánh xích - công suất: </t>
  </si>
  <si>
    <t>M0177</t>
  </si>
  <si>
    <t>M0178</t>
  </si>
  <si>
    <t>M0179</t>
  </si>
  <si>
    <t>M0180</t>
  </si>
  <si>
    <t xml:space="preserve"> 110,0 CV</t>
  </si>
  <si>
    <t>M0181</t>
  </si>
  <si>
    <t>Máy kéo bánh hơi - công suất:</t>
  </si>
  <si>
    <t>M0182</t>
  </si>
  <si>
    <t>28,0 CV</t>
  </si>
  <si>
    <t>M0183</t>
  </si>
  <si>
    <t>40,0 CV</t>
  </si>
  <si>
    <t>M0184</t>
  </si>
  <si>
    <t>50,0 CV</t>
  </si>
  <si>
    <t>M0185</t>
  </si>
  <si>
    <t>60,0 CV</t>
  </si>
  <si>
    <t>M0186</t>
  </si>
  <si>
    <t>80,0 CV</t>
  </si>
  <si>
    <t>M0187</t>
  </si>
  <si>
    <t>165,0 CV</t>
  </si>
  <si>
    <t>M0188</t>
  </si>
  <si>
    <t>215,0 CV</t>
  </si>
  <si>
    <t>Thiết bị phục vụ vận chuyển đá nổ mìn trong hầm:</t>
  </si>
  <si>
    <t>M0189</t>
  </si>
  <si>
    <t>Tời ma nơ - 13 kW</t>
  </si>
  <si>
    <t>M0190</t>
  </si>
  <si>
    <t>Xe goòng 3 T</t>
  </si>
  <si>
    <t>M0191</t>
  </si>
  <si>
    <t>Xe goòng 5,8m3</t>
  </si>
  <si>
    <t>M0192</t>
  </si>
  <si>
    <t>Đầu kéo 30 T</t>
  </si>
  <si>
    <t>M0193</t>
  </si>
  <si>
    <t>Quang lật 360 T/h</t>
  </si>
  <si>
    <t>Cần trục máy kéo - sức nâng:</t>
  </si>
  <si>
    <t>M0194</t>
  </si>
  <si>
    <t>5,0 T</t>
  </si>
  <si>
    <t>M0195</t>
  </si>
  <si>
    <t>6,0 T.</t>
  </si>
  <si>
    <t>M0196</t>
  </si>
  <si>
    <t>M0197</t>
  </si>
  <si>
    <t>8,0 T</t>
  </si>
  <si>
    <t>Máy đặt đường ống:</t>
  </si>
  <si>
    <t>M0198</t>
  </si>
  <si>
    <t>4. Đại phó, máy 2 tàu hút bụng; máy 2, kỹ thuật viên cuốc 1 tàu cuốc, tàu hút phun, tàu NV bằng gầu ngoạm</t>
  </si>
  <si>
    <t>5. Thuyền phó 2 tàu cuốc, kỹ thuật viên cuốc 2 tàu hút; thuyền phó 3, máy 4 tàu hút bụng; máy 3, kỹ thuật viên cuốc 3 tàu cuốc, tàu hút phun, tàu NV bằng</t>
  </si>
  <si>
    <t>gầu ngoạm</t>
  </si>
  <si>
    <t>6. Thuyền phó 3 tàu cuốc, tàu hút phun, tàu NV bằng gầu ngoạm, kỹ thuật viên cuốc 3 tàu hút bụng</t>
  </si>
  <si>
    <t xml:space="preserve">Máy nén một trục </t>
  </si>
  <si>
    <t>M0741</t>
  </si>
  <si>
    <t>Máy nén Marshall</t>
  </si>
  <si>
    <t>M0742</t>
  </si>
  <si>
    <t>Máy CBR</t>
  </si>
  <si>
    <t>M0743</t>
  </si>
  <si>
    <t>Máy thí nghiệm thuỷ lực quay tay</t>
  </si>
  <si>
    <t>M0744</t>
  </si>
  <si>
    <t>Máy nén 4t quay tay</t>
  </si>
  <si>
    <t>M0745</t>
  </si>
  <si>
    <t>Máy nén thuỷ lực 10t</t>
  </si>
  <si>
    <t>M0746</t>
  </si>
  <si>
    <t>Máy nén thuỷ lực 50t</t>
  </si>
  <si>
    <t>M0747</t>
  </si>
  <si>
    <t>Máy nén thuỷ lực 125t</t>
  </si>
  <si>
    <t>M0748</t>
  </si>
  <si>
    <t>Máy kéo nén thuỷ lực 100t</t>
  </si>
  <si>
    <t>M0749</t>
  </si>
  <si>
    <t>Máy kéo nén uốn thuỷ lực 25t</t>
  </si>
  <si>
    <t>M0750</t>
  </si>
  <si>
    <t>Máy kéo nén uốn thuỷ lực 100t</t>
  </si>
  <si>
    <t>M0751</t>
  </si>
  <si>
    <t>Máy gia tải 20t</t>
  </si>
  <si>
    <t>M0752</t>
  </si>
  <si>
    <t>Máy caragrang (làm thí nghiệm chảy)</t>
  </si>
  <si>
    <t>M0753</t>
  </si>
  <si>
    <t>Máy xác định hệ số thấm</t>
  </si>
  <si>
    <t>M0754</t>
  </si>
  <si>
    <t>Máy đo PH</t>
  </si>
  <si>
    <t>M0755</t>
  </si>
  <si>
    <t>Máy đo âm thanh</t>
  </si>
  <si>
    <t>M0756</t>
  </si>
  <si>
    <t>Máy đo chiều dày màng sơn</t>
  </si>
  <si>
    <t>M0757</t>
  </si>
  <si>
    <t>Máy đo điện thế thí nghiệm ăn mòn cốt thép trong bê tông</t>
  </si>
  <si>
    <t>M0758</t>
  </si>
  <si>
    <t>Máy đo vết nứt</t>
  </si>
  <si>
    <t>M0759</t>
  </si>
  <si>
    <t>Máy đo tốc độ ăn mòn cốt thép trong bê tông</t>
  </si>
  <si>
    <t>M0760</t>
  </si>
  <si>
    <t>Máy đo độ thấm của Ion Clo</t>
  </si>
  <si>
    <t>M0761</t>
  </si>
  <si>
    <t>Dụng cụ đo độ cháy của than</t>
  </si>
  <si>
    <t>M0762</t>
  </si>
  <si>
    <t>Máy đo gia tốc</t>
  </si>
  <si>
    <t>M0763</t>
  </si>
  <si>
    <t>Máy ghi nhiệt ổn định</t>
  </si>
  <si>
    <t>M0764</t>
  </si>
  <si>
    <t>Máy đo chuyển vị</t>
  </si>
  <si>
    <t>M0765</t>
  </si>
  <si>
    <t>Máy xác định môđun</t>
  </si>
  <si>
    <t>M0766</t>
  </si>
  <si>
    <t>Máy so màu ngọn lửa</t>
  </si>
  <si>
    <t>M0767</t>
  </si>
  <si>
    <t>Máy so màu quang điện</t>
  </si>
  <si>
    <t>M0768</t>
  </si>
  <si>
    <t>Máy đo độ dãn dài Bitum</t>
  </si>
  <si>
    <t>M0769</t>
  </si>
  <si>
    <t>Máy chiết nhựa (Xốc lét)</t>
  </si>
  <si>
    <t>M0770</t>
  </si>
  <si>
    <t>Bộ thí nghiệm độ co ngót, trương nở</t>
  </si>
  <si>
    <t>M0771</t>
  </si>
  <si>
    <t>Thiết bị thử tỷ diện</t>
  </si>
  <si>
    <t>M0772</t>
  </si>
  <si>
    <t>Bàn dằn</t>
  </si>
  <si>
    <t>M0773</t>
  </si>
  <si>
    <t>Bàn rung</t>
  </si>
  <si>
    <t>M0774</t>
  </si>
  <si>
    <t>Máy khuấy bằng từ</t>
  </si>
  <si>
    <t>M0775</t>
  </si>
  <si>
    <t>Máy khuấy cầm tay NAG-2</t>
  </si>
  <si>
    <t>M0776</t>
  </si>
  <si>
    <t>Máy nghiền bi sứ LE1</t>
  </si>
  <si>
    <t>M0777</t>
  </si>
  <si>
    <t>Máy phân tích hạt LAZER</t>
  </si>
  <si>
    <t>M0778</t>
  </si>
  <si>
    <t>Máy phân tích vi nhiệt</t>
  </si>
  <si>
    <t>M0779</t>
  </si>
  <si>
    <t>Tenxômét</t>
  </si>
  <si>
    <t>M0780</t>
  </si>
  <si>
    <t>Máy đo độ giãn nở bê tông</t>
  </si>
  <si>
    <t>M0781</t>
  </si>
  <si>
    <t>Máy đo hệ số dẫn nhiệt</t>
  </si>
  <si>
    <t>M0782</t>
  </si>
  <si>
    <t>Máy nhiễu xạ Rơnghen (phân tích thành phần hoá lý của vật liệu)</t>
  </si>
  <si>
    <t>M0783</t>
  </si>
  <si>
    <t>Cần ép mẫu thử gạch chịu lửa</t>
  </si>
  <si>
    <t>M0784</t>
  </si>
  <si>
    <t>Côn thử độ sụt</t>
  </si>
  <si>
    <t>M0785</t>
  </si>
  <si>
    <t>Dụng cụ xác định độ chịu lực va đập xung kích gạch lát xi măng (viên bi sắt)</t>
  </si>
  <si>
    <t>M0786</t>
  </si>
  <si>
    <t>Dụng cụ xác định giới hạn bền liên kết</t>
  </si>
  <si>
    <t>M0787</t>
  </si>
  <si>
    <t>Chén bạch kim</t>
  </si>
  <si>
    <t>M0788</t>
  </si>
  <si>
    <t>Kẹp niken</t>
  </si>
  <si>
    <t>M0789</t>
  </si>
  <si>
    <t>Máy siêu âm đo chiều dầy kim loại</t>
  </si>
  <si>
    <t>M0790</t>
  </si>
  <si>
    <t xml:space="preserve"> Cần trục TO-12-24 - sức nâng: 15 T</t>
  </si>
  <si>
    <t>1x4/7+1x5/7+1x6/7</t>
  </si>
  <si>
    <t>M0199</t>
  </si>
  <si>
    <t xml:space="preserve"> Tời kéo ống trên xe xích - sức kéo: 7,5 T</t>
  </si>
  <si>
    <t>2x4/7+1x5/7+1x6/7</t>
  </si>
  <si>
    <t xml:space="preserve">Cần trục ô tô - sức nâng: </t>
  </si>
  <si>
    <t>M0200</t>
  </si>
  <si>
    <t>1,0 T</t>
  </si>
  <si>
    <t xml:space="preserve">1x1/4 +1x3/4 Loại  &lt;3,5 Tấn </t>
  </si>
  <si>
    <t>M0201</t>
  </si>
  <si>
    <t>3,0 T</t>
  </si>
  <si>
    <t>M0202</t>
  </si>
  <si>
    <t>M0203</t>
  </si>
  <si>
    <t>M0204</t>
  </si>
  <si>
    <t>6,0 T</t>
  </si>
  <si>
    <t>M0205</t>
  </si>
  <si>
    <t>M0206</t>
  </si>
  <si>
    <t>16,0 T</t>
  </si>
  <si>
    <t>M0207</t>
  </si>
  <si>
    <t>20,0 T</t>
  </si>
  <si>
    <t xml:space="preserve">1x1/4 +1x3/4 Loại 16,5 -25 Tấn </t>
  </si>
  <si>
    <t>M0208</t>
  </si>
  <si>
    <t>25,0 T</t>
  </si>
  <si>
    <t>M0209</t>
  </si>
  <si>
    <t>30,0 T</t>
  </si>
  <si>
    <t>M0210</t>
  </si>
  <si>
    <t>35,0 T</t>
  </si>
  <si>
    <t>M0211</t>
  </si>
  <si>
    <t>40,0 T</t>
  </si>
  <si>
    <t xml:space="preserve">1x1/4 +1x3/4 Loại  =&gt;40 Tấn </t>
  </si>
  <si>
    <t>M0212</t>
  </si>
  <si>
    <t>45,0 T</t>
  </si>
  <si>
    <t>M0213</t>
  </si>
  <si>
    <t>50,0 T</t>
  </si>
  <si>
    <t xml:space="preserve">Cần trục bánh hơi - sức nâng: </t>
  </si>
  <si>
    <t>M0214</t>
  </si>
  <si>
    <t>M0215</t>
  </si>
  <si>
    <t>M0216</t>
  </si>
  <si>
    <t>M0217</t>
  </si>
  <si>
    <t>63,0 T</t>
  </si>
  <si>
    <t>M0218</t>
  </si>
  <si>
    <t>90,0 T</t>
  </si>
  <si>
    <t>M0219</t>
  </si>
  <si>
    <t>100,0 T</t>
  </si>
  <si>
    <t>2x4/7+1x7/7</t>
  </si>
  <si>
    <t>M0220</t>
  </si>
  <si>
    <t>110,0 T</t>
  </si>
  <si>
    <t>M0221</t>
  </si>
  <si>
    <t>130,0 T</t>
  </si>
  <si>
    <t>Cần trục bánh xích - sức nâng:</t>
  </si>
  <si>
    <t>M0222</t>
  </si>
  <si>
    <t>M0223</t>
  </si>
  <si>
    <t>M0224</t>
  </si>
  <si>
    <t>M0225</t>
  </si>
  <si>
    <t>M0226</t>
  </si>
  <si>
    <t>M0227</t>
  </si>
  <si>
    <t>28,0 T</t>
  </si>
  <si>
    <t>M0228</t>
  </si>
  <si>
    <t>M0229</t>
  </si>
  <si>
    <t>M0230</t>
  </si>
  <si>
    <t>M0231</t>
  </si>
  <si>
    <t>M0232</t>
  </si>
  <si>
    <t>M0233</t>
  </si>
  <si>
    <t>M0234</t>
  </si>
  <si>
    <t>150,0 T</t>
  </si>
  <si>
    <t>Cần trục tháp - sức nâng:</t>
  </si>
  <si>
    <t>M0235</t>
  </si>
  <si>
    <t>M0236</t>
  </si>
  <si>
    <t>M0237</t>
  </si>
  <si>
    <t>M0238</t>
  </si>
  <si>
    <t>M0239</t>
  </si>
  <si>
    <t>12,0 T</t>
  </si>
  <si>
    <t>M0240</t>
  </si>
  <si>
    <t>15,0 T</t>
  </si>
  <si>
    <t>M0241</t>
  </si>
  <si>
    <t>M0242</t>
  </si>
  <si>
    <t>M0243</t>
  </si>
  <si>
    <t>M0244</t>
  </si>
  <si>
    <t>M0245</t>
  </si>
  <si>
    <t>2x4/7+1x6/7</t>
  </si>
  <si>
    <t>M0246</t>
  </si>
  <si>
    <t>60,0 T</t>
  </si>
  <si>
    <t>M0247</t>
  </si>
  <si>
    <t>Cẩu tháp MD 900</t>
  </si>
  <si>
    <t>2x4/7+1x6/7+1x7/7</t>
  </si>
  <si>
    <t>Cần cẩu nổi, kéo theo - sức nâng:</t>
  </si>
  <si>
    <t>M0248</t>
  </si>
  <si>
    <t>30T</t>
  </si>
  <si>
    <t>Thuyền phó 2 1/2 + 3 thợ máy (2x2/4+1x3/4) + 1 thợ điện 2/4 +1 Thủy thủ 2/4</t>
  </si>
  <si>
    <t>Cần cẩu nổi, tự hành - sức nâng:</t>
  </si>
  <si>
    <t>M0249</t>
  </si>
  <si>
    <t xml:space="preserve">100T </t>
  </si>
  <si>
    <t>T.tr 1/2+T.pII.1/2 + 4 thợ máy (3x2/4+1x4/4)
+ 1 thợ điện 3/4+1 Thuỷ thủ 2/4</t>
  </si>
  <si>
    <t xml:space="preserve">Cẩu lao dầm: </t>
  </si>
  <si>
    <t>M0250</t>
  </si>
  <si>
    <t>CẩuK33-60</t>
  </si>
  <si>
    <t>1x3/7+4x4/7+1x6/7</t>
  </si>
  <si>
    <t>Cổng trục - sức nâng:</t>
  </si>
  <si>
    <t>M0251</t>
  </si>
  <si>
    <t>10T</t>
  </si>
  <si>
    <t>M0252</t>
  </si>
  <si>
    <t>25T</t>
  </si>
  <si>
    <t>M0253</t>
  </si>
  <si>
    <t>Kích nâng - 10 T</t>
  </si>
  <si>
    <t>M0285</t>
  </si>
  <si>
    <t>Kích nâng - 30T</t>
  </si>
  <si>
    <t>M0286</t>
  </si>
  <si>
    <t>Kích nâng - 50T</t>
  </si>
  <si>
    <t>M0287</t>
  </si>
  <si>
    <t>Kích nâng - 100T</t>
  </si>
  <si>
    <t>M0288</t>
  </si>
  <si>
    <t>Kích nâng - 200T</t>
  </si>
  <si>
    <t>M0289</t>
  </si>
  <si>
    <t>Kích nâng - 250T</t>
  </si>
  <si>
    <t>M0290</t>
  </si>
  <si>
    <t>Kích nâng - 500T</t>
  </si>
  <si>
    <t>M0291</t>
  </si>
  <si>
    <t>Kích thông tâm YCW - 150 T</t>
  </si>
  <si>
    <t>M0292</t>
  </si>
  <si>
    <t>Kích thông tâm YCW - 250 T</t>
  </si>
  <si>
    <t>M0293</t>
  </si>
  <si>
    <t>Kích đẩy liên tục tự động ZLD-60 (60T,6c)</t>
  </si>
  <si>
    <t>M0294</t>
  </si>
  <si>
    <t>Kích thông tâm YCW - 500 T</t>
  </si>
  <si>
    <t>M0295</t>
  </si>
  <si>
    <t>Kích sợi đơn YDC - 500 T</t>
  </si>
  <si>
    <t>M0296</t>
  </si>
  <si>
    <t xml:space="preserve">Kích thông tâm RRH - 100 T </t>
  </si>
  <si>
    <t>M0297</t>
  </si>
  <si>
    <t xml:space="preserve">Kích thông tâm RRH - 300 T </t>
  </si>
  <si>
    <t>Máy luồn cáp - công suất:</t>
  </si>
  <si>
    <t>M0298</t>
  </si>
  <si>
    <t>15 kW</t>
  </si>
  <si>
    <t>Máy cắt cáp - công suất:</t>
  </si>
  <si>
    <t>M0299</t>
  </si>
  <si>
    <t>1,0 kW</t>
  </si>
  <si>
    <t>M0300</t>
  </si>
  <si>
    <t>10,0 kW</t>
  </si>
  <si>
    <t>Trạm bơm dầu áp lực- công suất:</t>
  </si>
  <si>
    <t>M0301</t>
  </si>
  <si>
    <t>40 MPa (HCP-400)</t>
  </si>
  <si>
    <t>M0302</t>
  </si>
  <si>
    <t>50 MPa (ZB4 - 500)</t>
  </si>
  <si>
    <t>Xe nâng hàng - sức nâng:</t>
  </si>
  <si>
    <t>M0303</t>
  </si>
  <si>
    <t>M0304</t>
  </si>
  <si>
    <t>M0305</t>
  </si>
  <si>
    <t>M0306</t>
  </si>
  <si>
    <t>3,2 T</t>
  </si>
  <si>
    <t>M0307</t>
  </si>
  <si>
    <t>M0308</t>
  </si>
  <si>
    <t>Máy nâng phục vụ thi công hầm - công suất:</t>
  </si>
  <si>
    <t>M0309</t>
  </si>
  <si>
    <t>135 CV</t>
  </si>
  <si>
    <t>Máy trộn bê tông - dung tích:</t>
  </si>
  <si>
    <t>M0310</t>
  </si>
  <si>
    <t>100,0 lít</t>
  </si>
  <si>
    <t>M0311</t>
  </si>
  <si>
    <t>150,0 lít</t>
  </si>
  <si>
    <t>M0312</t>
  </si>
  <si>
    <t>200,0 lít</t>
  </si>
  <si>
    <t>M0313</t>
  </si>
  <si>
    <t>250,0 lít</t>
  </si>
  <si>
    <t>M0314</t>
  </si>
  <si>
    <t>425,0 lít</t>
  </si>
  <si>
    <t>M0315</t>
  </si>
  <si>
    <t>500,0 lít</t>
  </si>
  <si>
    <t>M0316</t>
  </si>
  <si>
    <t>800,0 lít</t>
  </si>
  <si>
    <t>M0317</t>
  </si>
  <si>
    <t>1150,0 lít</t>
  </si>
  <si>
    <t>M0318</t>
  </si>
  <si>
    <t>1600,0 lít</t>
  </si>
  <si>
    <t xml:space="preserve">Máy trộn vữa - dung tích: </t>
  </si>
  <si>
    <t>M0319</t>
  </si>
  <si>
    <t>80,0 lít</t>
  </si>
  <si>
    <t>M0320</t>
  </si>
  <si>
    <t>110,0 lít</t>
  </si>
  <si>
    <t>M0321</t>
  </si>
  <si>
    <t>M0322</t>
  </si>
  <si>
    <t>M0323</t>
  </si>
  <si>
    <t>M0324</t>
  </si>
  <si>
    <t>325,0 lít</t>
  </si>
  <si>
    <t xml:space="preserve">Trạm trộn bê tông - năng suất: </t>
  </si>
  <si>
    <t>M0325</t>
  </si>
  <si>
    <t>16,0m3/h</t>
  </si>
  <si>
    <t>M0326</t>
  </si>
  <si>
    <t>20,0m3/h</t>
  </si>
  <si>
    <t>M0327</t>
  </si>
  <si>
    <t>22,0m3/h</t>
  </si>
  <si>
    <t>M0328</t>
  </si>
  <si>
    <t>25,0m3/h</t>
  </si>
  <si>
    <t>M0329</t>
  </si>
  <si>
    <t>30,0m3/h</t>
  </si>
  <si>
    <t>2x3/7+1x5/7</t>
  </si>
  <si>
    <t>M0330</t>
  </si>
  <si>
    <t>50,0m3/h</t>
  </si>
  <si>
    <t>M0331</t>
  </si>
  <si>
    <t>60,0m3/h</t>
  </si>
  <si>
    <t>M0332</t>
  </si>
  <si>
    <t>75,0m3/h</t>
  </si>
  <si>
    <t>2x3/7+1x4/7+1x6/7</t>
  </si>
  <si>
    <t>M0333</t>
  </si>
  <si>
    <t>125,0m3/h</t>
  </si>
  <si>
    <t>M0334</t>
  </si>
  <si>
    <t>160,0m3/h</t>
  </si>
  <si>
    <t>3x3/7+1x4/7+1x6/7</t>
  </si>
  <si>
    <t>Máy bơm vữa - năng suất:</t>
  </si>
  <si>
    <t>M0335</t>
  </si>
  <si>
    <t>2,0m3/h</t>
  </si>
  <si>
    <t>M0336</t>
  </si>
  <si>
    <t>4,0m3/h</t>
  </si>
  <si>
    <t>M0337</t>
  </si>
  <si>
    <t>6,0m3/h</t>
  </si>
  <si>
    <t>1x3/7+1x4/7</t>
  </si>
  <si>
    <t>M0338</t>
  </si>
  <si>
    <t>9,0m3/h</t>
  </si>
  <si>
    <t>M0339</t>
  </si>
  <si>
    <t>32 - 50m3/h</t>
  </si>
  <si>
    <t>Xe bơm bê tông, tự hành - năng suất:</t>
  </si>
  <si>
    <t>M0340</t>
  </si>
  <si>
    <t>50 m3/h</t>
  </si>
  <si>
    <t>1x1/4+1x3/4 L.16,5-25T</t>
  </si>
  <si>
    <t>M0341</t>
  </si>
  <si>
    <t xml:space="preserve"> 60 m3/h</t>
  </si>
  <si>
    <t>Máy bơm bê tông - năng suất:</t>
  </si>
  <si>
    <t>M0342</t>
  </si>
  <si>
    <t>40 - 60m3/h</t>
  </si>
  <si>
    <t>M0343</t>
  </si>
  <si>
    <t>60 - 90m3/h</t>
  </si>
  <si>
    <t>Máy phun vẩy - năng suất:</t>
  </si>
  <si>
    <t>M0344</t>
  </si>
  <si>
    <t>9m3/h (AL 285)</t>
  </si>
  <si>
    <t>M0345</t>
  </si>
  <si>
    <t>16m3/h (AL 500)</t>
  </si>
  <si>
    <t>2x3/7+1x4/7+1x5/7+1x6/7</t>
  </si>
  <si>
    <t>M0346</t>
  </si>
  <si>
    <t>Máy trải bê tông SP.500</t>
  </si>
  <si>
    <t>1x6/7+1x5/7+2x3/7</t>
  </si>
  <si>
    <t>Máy đầm bê tông, đầm bàn - công suất:</t>
  </si>
  <si>
    <t>M0347</t>
  </si>
  <si>
    <t>0,4 kW</t>
  </si>
  <si>
    <t>M0348</t>
  </si>
  <si>
    <t>0,6 kW</t>
  </si>
  <si>
    <t>M0349</t>
  </si>
  <si>
    <t>0,8 kW</t>
  </si>
  <si>
    <t>M0350</t>
  </si>
  <si>
    <t>Máy đầm bê tông, đầm cạnh - công suất:</t>
  </si>
  <si>
    <t>M0351</t>
  </si>
  <si>
    <t xml:space="preserve">Máy đầm bê tông, dầm dùi - công suất: </t>
  </si>
  <si>
    <t>M0352</t>
  </si>
  <si>
    <t>M0353</t>
  </si>
  <si>
    <t>M0354</t>
  </si>
  <si>
    <t>M0355</t>
  </si>
  <si>
    <t>1,5 kW</t>
  </si>
  <si>
    <t>M0356</t>
  </si>
  <si>
    <t>2,8 kW</t>
  </si>
  <si>
    <t>M0357</t>
  </si>
  <si>
    <t>3,5 kW</t>
  </si>
  <si>
    <t>Máy sàng rửa đá, sỏi - năng suất:</t>
  </si>
  <si>
    <t>M0358</t>
  </si>
  <si>
    <t>11,0m3/h</t>
  </si>
  <si>
    <t>M0359</t>
  </si>
  <si>
    <t>35,0m3/h</t>
  </si>
  <si>
    <t>M0360</t>
  </si>
  <si>
    <t>45,0m3/h</t>
  </si>
  <si>
    <t xml:space="preserve">Máy nghiền sàng đá di động - năng suất: </t>
  </si>
  <si>
    <t>M0361</t>
  </si>
  <si>
    <t>M0362</t>
  </si>
  <si>
    <t>M0363</t>
  </si>
  <si>
    <t xml:space="preserve"> 2x3/7+1x4/7</t>
  </si>
  <si>
    <t>M0364</t>
  </si>
  <si>
    <t>Máy nghiền đá thô - năng suất:</t>
  </si>
  <si>
    <t>M0365</t>
  </si>
  <si>
    <t>14,0m3/h</t>
  </si>
  <si>
    <t>M0366</t>
  </si>
  <si>
    <t>200,0m3/h</t>
  </si>
  <si>
    <t>1x3/7+2x4/7+1x5/7+1x6/7</t>
  </si>
  <si>
    <t xml:space="preserve">Trạm trộn bê tông asphan - năng suất: </t>
  </si>
  <si>
    <t>M0367</t>
  </si>
  <si>
    <t>25,0 T/h (140 m3/ca)</t>
  </si>
  <si>
    <t>1.190
 210
 210</t>
  </si>
  <si>
    <t>lít mazut
kWh 
lít diezel</t>
  </si>
  <si>
    <t>1,05
1,07
1,05</t>
  </si>
  <si>
    <t>Cộng đồng sử dụng và phát triển phần mềm Dự toán GXD</t>
  </si>
  <si>
    <t>Bộ cài, dữ liệu định mức, đơn giá...</t>
  </si>
  <si>
    <t>Công cụ người sử dụng tạo thêm</t>
  </si>
  <si>
    <t>Lập trình VBA, Macro4 trong Excel</t>
  </si>
  <si>
    <t>Hướng dẫn, chia sẻ kinh nghiệm sử dụng Dự toán GXD</t>
  </si>
  <si>
    <t>(Kích để chuyển đến địa chỉ tương ứng)</t>
  </si>
  <si>
    <t>Giao diện phần mềm Dự toán GXD do người dùng thiết kế, tùy biến</t>
  </si>
  <si>
    <t>Công bố giá vật liệu địa phương</t>
  </si>
  <si>
    <t>Dữ liệu định mức, đơn giá, giá ca máy, suất vốn đầu tư, nhiên liệu…</t>
  </si>
  <si>
    <t>Quản lý chi phí đầu tư xây dựng</t>
  </si>
  <si>
    <t>Báo giá vật liệu xây dựng từ thị trường</t>
  </si>
  <si>
    <t>MỘT SỐ ĐỊA CHỈ TRÊN GIAXAYDUNG.VN</t>
  </si>
  <si>
    <t>3. Điện trưởng, đại phó tàu cuốc; kỹ thuật viên cuốc 1, tàu hút bụng; thuyền phó 2, máy 3 tàu hút bụng; máy 3, kỹ thuật viên cuốc 2 tàu cuốc, tàu hút</t>
  </si>
  <si>
    <t>phun, tàu NV bằng gầu ngoạm</t>
  </si>
  <si>
    <t/>
  </si>
  <si>
    <t>STT</t>
  </si>
  <si>
    <t>CPC</t>
  </si>
  <si>
    <t>TNCTTT</t>
  </si>
  <si>
    <t>Trên CPNC</t>
  </si>
  <si>
    <t>I</t>
  </si>
  <si>
    <t>TT</t>
  </si>
  <si>
    <t>II</t>
  </si>
  <si>
    <t>III</t>
  </si>
  <si>
    <t>IV</t>
  </si>
  <si>
    <t>MÃ HIỆU</t>
  </si>
  <si>
    <t>20,0 kW</t>
  </si>
  <si>
    <t>M0438</t>
  </si>
  <si>
    <t>25,0 kW</t>
  </si>
  <si>
    <t>M0439</t>
  </si>
  <si>
    <t>30,0 kW</t>
  </si>
  <si>
    <t>M0440</t>
  </si>
  <si>
    <t>38,0 kW</t>
  </si>
  <si>
    <t>M0441</t>
  </si>
  <si>
    <t>45,0 kW</t>
  </si>
  <si>
    <t>M0442</t>
  </si>
  <si>
    <t>50,0 kW</t>
  </si>
  <si>
    <t>M0443</t>
  </si>
  <si>
    <t>60,0 kW</t>
  </si>
  <si>
    <t>M0444</t>
  </si>
  <si>
    <t>75,0 kW</t>
  </si>
  <si>
    <t>M0445</t>
  </si>
  <si>
    <t>112,0 kW</t>
  </si>
  <si>
    <t>M0446</t>
  </si>
  <si>
    <t>122,0 kW</t>
  </si>
  <si>
    <t xml:space="preserve">Máy nén khí, động cơ xăng - năng suất: </t>
  </si>
  <si>
    <t>M0447</t>
  </si>
  <si>
    <t>3,0m3/h</t>
  </si>
  <si>
    <t>M0448</t>
  </si>
  <si>
    <t>M0449</t>
  </si>
  <si>
    <t>M0450</t>
  </si>
  <si>
    <t>40,0m3/h</t>
  </si>
  <si>
    <t>M0451</t>
  </si>
  <si>
    <t>120,0m3/h</t>
  </si>
  <si>
    <t>M0452</t>
  </si>
  <si>
    <t>M0453</t>
  </si>
  <si>
    <t>300,0m3/h</t>
  </si>
  <si>
    <t>M0454</t>
  </si>
  <si>
    <t>600,0m3/h</t>
  </si>
  <si>
    <t>M0539</t>
  </si>
  <si>
    <t>F 75 - 95 mm</t>
  </si>
  <si>
    <t>M0540</t>
  </si>
  <si>
    <t>F 105 - 110 mm</t>
  </si>
  <si>
    <t xml:space="preserve">Máy khoan xoay đập tự hành, động cơ điện - đường kính khoan: </t>
  </si>
  <si>
    <t>M0541</t>
  </si>
  <si>
    <t xml:space="preserve"> F 150 (56 kW)</t>
  </si>
  <si>
    <t xml:space="preserve">Máy khoan đập cáp - đường kính khoan: </t>
  </si>
  <si>
    <t>M0542</t>
  </si>
  <si>
    <t xml:space="preserve"> F 200 - 260 (20 kW)</t>
  </si>
  <si>
    <t>2x3/7+1x4/7</t>
  </si>
  <si>
    <t xml:space="preserve">Máy khoan đập xoay tự hành, động cơ điện - đường kính khoan: </t>
  </si>
  <si>
    <t>M0543</t>
  </si>
  <si>
    <t xml:space="preserve"> F 160 - 200 (90 kW)</t>
  </si>
  <si>
    <t xml:space="preserve">1x3/7+1x4/7 </t>
  </si>
  <si>
    <t>Máy khoan đập xoay tự hành, động cơ diezel - đường kính khoan:</t>
  </si>
  <si>
    <t>M0544</t>
  </si>
  <si>
    <t xml:space="preserve"> F 51 - 76 (310 CV)</t>
  </si>
  <si>
    <t>M0545</t>
  </si>
  <si>
    <t xml:space="preserve"> F 76 - 89 (145 CV)</t>
  </si>
  <si>
    <t>M0546</t>
  </si>
  <si>
    <t xml:space="preserve"> F 89 - 102 (220 CV)</t>
  </si>
  <si>
    <t>M0547</t>
  </si>
  <si>
    <t xml:space="preserve"> F 102 - 115 (300 CV)</t>
  </si>
  <si>
    <t>M0548</t>
  </si>
  <si>
    <t xml:space="preserve"> F 115 - 127 (144 CV)</t>
  </si>
  <si>
    <t>M0549</t>
  </si>
  <si>
    <t xml:space="preserve"> F 127 - 152 (335 CV)</t>
  </si>
  <si>
    <t>Máy khoan xoay cầu, động cơ điện - đường kính khoan:</t>
  </si>
  <si>
    <t>M0550</t>
  </si>
  <si>
    <t xml:space="preserve"> F 243 - 269 (322 kW)</t>
  </si>
  <si>
    <t>Máy khoan xoay cầu, động cơ điezel - đường kính khoan:</t>
  </si>
  <si>
    <t>M0551</t>
  </si>
  <si>
    <t xml:space="preserve"> F 152 - 228 (450 CV)</t>
  </si>
  <si>
    <t>Máy khoan hầm tự hành, động cơ điezel - đường kính khoan:</t>
  </si>
  <si>
    <t>M0552</t>
  </si>
  <si>
    <t xml:space="preserve"> F 45 (2 cần - 147 CV)</t>
  </si>
  <si>
    <t>2x4/7+2x7/7</t>
  </si>
  <si>
    <t>M0553</t>
  </si>
  <si>
    <t xml:space="preserve"> F 45 (3 cần - 255 CV)</t>
  </si>
  <si>
    <t xml:space="preserve">Máy khoan néo - độ sâu khoan: </t>
  </si>
  <si>
    <t>M0554</t>
  </si>
  <si>
    <t>H &lt;= 3,5 m (80 CV)</t>
  </si>
  <si>
    <t>Máy khoan ngược (toàn tiết diện), đường kính khoan:</t>
  </si>
  <si>
    <t>M0555</t>
  </si>
  <si>
    <t xml:space="preserve"> F 2,40 m (250 kW)</t>
  </si>
  <si>
    <t xml:space="preserve">Tổ hợp dàn khoan leo, công suất: </t>
  </si>
  <si>
    <t>M0556</t>
  </si>
  <si>
    <t xml:space="preserve"> 9,0kW</t>
  </si>
  <si>
    <t>Máy khoan giếng khai thác nước ngầm, khoan đập cáp - công suất:</t>
  </si>
  <si>
    <t>M0557</t>
  </si>
  <si>
    <t xml:space="preserve"> 40 kW </t>
  </si>
  <si>
    <t xml:space="preserve">Máy khoan giếng khai thác nước ngầm, khoan xoay - công suất: </t>
  </si>
  <si>
    <t>M0558</t>
  </si>
  <si>
    <t xml:space="preserve"> 54 CV</t>
  </si>
  <si>
    <t>M0559</t>
  </si>
  <si>
    <t xml:space="preserve"> 300 CV</t>
  </si>
  <si>
    <t>1x6/7+1x4/7+2x3/7</t>
  </si>
  <si>
    <t>Máy và thiết bị khoan đặt đường cáp ngầm:</t>
  </si>
  <si>
    <t>M0560</t>
  </si>
  <si>
    <t xml:space="preserve"> Máy khoan ngầm có định hướng</t>
  </si>
  <si>
    <t>M0561</t>
  </si>
  <si>
    <t xml:space="preserve"> Hệ thống STS (phục vụ khoan ngầm có định hướng khi khoan qua sông nước)</t>
  </si>
  <si>
    <t>Máy khoan đặt đường ống ngầm:</t>
  </si>
  <si>
    <t>M0562</t>
  </si>
  <si>
    <t>Bộ thiết bị khoan đặt đường ống ngầm đường kính ống ngầm &lt;=600 mm</t>
  </si>
  <si>
    <t>107,10
19,70</t>
  </si>
  <si>
    <t>lít diezel
lít xăng</t>
  </si>
  <si>
    <t>1,05
1,03</t>
  </si>
  <si>
    <t>4x3/7+4x4/7+3x5/7+3x6/7+1x7/7</t>
  </si>
  <si>
    <t>M0563</t>
  </si>
  <si>
    <t>Máy khoan ngang UĐB-4</t>
  </si>
  <si>
    <t>3x3/7+2x4/7+2x6/7+1x7/7</t>
  </si>
  <si>
    <t>Máy khoan tạo lỗ neo gia cố mái ta luy:</t>
  </si>
  <si>
    <t>M0564</t>
  </si>
  <si>
    <t>Đường dẫn tới file cơ sở dữ liệu</t>
  </si>
  <si>
    <t>BẢNG LƯƠNG NHÂN CÔNG</t>
  </si>
  <si>
    <t>đ/tháng</t>
  </si>
  <si>
    <t>CẤP BẬC</t>
  </si>
  <si>
    <t>HỆ SỐ LƯƠNG (HSL)</t>
  </si>
  <si>
    <t>Lưu động</t>
  </si>
  <si>
    <t>Thu hút</t>
  </si>
  <si>
    <t>Lương phụ</t>
  </si>
  <si>
    <t>Khoán trực tiếp</t>
  </si>
  <si>
    <t>Không ổn định sản xuất</t>
  </si>
  <si>
    <t>N1207</t>
  </si>
  <si>
    <t>N1257</t>
  </si>
  <si>
    <t>N1277</t>
  </si>
  <si>
    <t>N1307</t>
  </si>
  <si>
    <t>N1327</t>
  </si>
  <si>
    <t>N1337</t>
  </si>
  <si>
    <t>N1357</t>
  </si>
  <si>
    <t>N1377</t>
  </si>
  <si>
    <t>N1407</t>
  </si>
  <si>
    <t>N1437</t>
  </si>
  <si>
    <t>N1457</t>
  </si>
  <si>
    <t>N1477</t>
  </si>
  <si>
    <t>N1507</t>
  </si>
  <si>
    <t>N1527</t>
  </si>
  <si>
    <t>N1557</t>
  </si>
  <si>
    <t>N1607</t>
  </si>
  <si>
    <t>N3207</t>
  </si>
  <si>
    <t>N3257</t>
  </si>
  <si>
    <t>N3277</t>
  </si>
  <si>
    <t>N3307</t>
  </si>
  <si>
    <t>N3327</t>
  </si>
  <si>
    <t>N3357</t>
  </si>
  <si>
    <t>N3377</t>
  </si>
  <si>
    <t>N3407</t>
  </si>
  <si>
    <t>N3427</t>
  </si>
  <si>
    <t>N3457</t>
  </si>
  <si>
    <t>N3477</t>
  </si>
  <si>
    <t>N3507</t>
  </si>
  <si>
    <t>N3527</t>
  </si>
  <si>
    <t>N3557</t>
  </si>
  <si>
    <t>N3607</t>
  </si>
  <si>
    <t>N2207</t>
  </si>
  <si>
    <t>N2257</t>
  </si>
  <si>
    <t>N2277</t>
  </si>
  <si>
    <t>N2307</t>
  </si>
  <si>
    <t>N2327</t>
  </si>
  <si>
    <t>N2357</t>
  </si>
  <si>
    <t>N2377</t>
  </si>
  <si>
    <t>N2407</t>
  </si>
  <si>
    <t>N2427</t>
  </si>
  <si>
    <t>N2457</t>
  </si>
  <si>
    <t>N2477</t>
  </si>
  <si>
    <t>N2507</t>
  </si>
  <si>
    <t>N2527</t>
  </si>
  <si>
    <t>N2557</t>
  </si>
  <si>
    <t>N2607</t>
  </si>
  <si>
    <t>TÊN SHEET</t>
  </si>
  <si>
    <t>Ts</t>
  </si>
  <si>
    <t>Bia1</t>
  </si>
  <si>
    <t>Bia2</t>
  </si>
  <si>
    <t>TM</t>
  </si>
  <si>
    <t>THKP</t>
  </si>
  <si>
    <t>Gxd</t>
  </si>
  <si>
    <t>Dutoan XD</t>
  </si>
  <si>
    <t>PTVT XD</t>
  </si>
  <si>
    <t>TH&amp;CLVT XD</t>
  </si>
  <si>
    <t>DGCT XD</t>
  </si>
  <si>
    <t>VCLC</t>
  </si>
  <si>
    <t>GVT XD</t>
  </si>
  <si>
    <t>DTDT</t>
  </si>
  <si>
    <t>Gtb</t>
  </si>
  <si>
    <t>TÊN BẢNG</t>
  </si>
  <si>
    <t>Gdtcg</t>
  </si>
  <si>
    <t>Gld</t>
  </si>
  <si>
    <t>Dutoan TB</t>
  </si>
  <si>
    <t>PTVT TB</t>
  </si>
  <si>
    <t>TH&amp;CLVT TB</t>
  </si>
  <si>
    <t>DGCT TB</t>
  </si>
  <si>
    <t>GVT TB</t>
  </si>
  <si>
    <t>DTDT TB</t>
  </si>
  <si>
    <t>Nhan cong</t>
  </si>
  <si>
    <t>May thi cong</t>
  </si>
  <si>
    <t>MỤC LỤC CÁC BẢNG TÍNH</t>
  </si>
  <si>
    <t>Bìa 2 (bìa lót)</t>
  </si>
  <si>
    <t>Bìa 1 (bìa ngoài)</t>
  </si>
  <si>
    <t>Thuyết minh lập dự toán</t>
  </si>
  <si>
    <t>Bảng tổng hợp dự toán công trình</t>
  </si>
  <si>
    <t>Bảng tổng hợp chi phí tư vấn</t>
  </si>
  <si>
    <t>Bảng tổng hợp chi phí khác</t>
  </si>
  <si>
    <t>Bảng tính nội suy các định mức tỷ lệ</t>
  </si>
  <si>
    <t>Bảng tổng hợp dự toán chi phí xây dựng</t>
  </si>
  <si>
    <t>Bảng dự toán chi phí xây dựng</t>
  </si>
  <si>
    <t>Bảng phân tích hao phí theo định mức</t>
  </si>
  <si>
    <t>Bảng tổng hợp và tính chênh lệch vật tư</t>
  </si>
  <si>
    <t>Bảng phân tích đơn giá chi tiết</t>
  </si>
  <si>
    <t>Bảng tổng hợp vật tư vận chuyển lên cao</t>
  </si>
  <si>
    <t>Bảng giá trị vật liệu, nhân công, máy thi công</t>
  </si>
  <si>
    <t>Bảng dự toán dự thầu</t>
  </si>
  <si>
    <t>Bảng tổng hợp dự toán chi phí thiết bị</t>
  </si>
  <si>
    <t>Bảng tổng hợp chi phí đào tạo chuyển giao công nghệ</t>
  </si>
  <si>
    <t>Bảng tổng hợp dự toán chi phí lắp đặt thiết bị</t>
  </si>
  <si>
    <t>Bảng dự toán chi phí thiết bị</t>
  </si>
  <si>
    <t>Bảng phân tích hao phí theo định mức (thiết bị)</t>
  </si>
  <si>
    <t>Bảng tổng hợp và tính chênh lệch vật tư (thiết bị)</t>
  </si>
  <si>
    <t>Bảng phân tích đơn giá chi tiết (thiết bị)</t>
  </si>
  <si>
    <t>Bảng lương nhân công</t>
  </si>
  <si>
    <t>Bảng giá ca máy</t>
  </si>
  <si>
    <t>QD957</t>
  </si>
  <si>
    <t>DỰ TOÁN CHI PHÍ XÂY DỰNG</t>
  </si>
  <si>
    <t>DỰ TOÁN CHI PHÍ THIẾT BỊ</t>
  </si>
  <si>
    <t>(Kích vào tên bảng để chuyển đến bảng tính tương ứng)</t>
  </si>
  <si>
    <t>Trong đô thị</t>
  </si>
  <si>
    <t>Ngoài đô thị</t>
  </si>
  <si>
    <t>Máy MF-2-100</t>
  </si>
  <si>
    <t>Máy, thiết bị trắc đạc:</t>
  </si>
  <si>
    <t>M0687</t>
  </si>
  <si>
    <t>Theo 020</t>
  </si>
  <si>
    <t>M0688</t>
  </si>
  <si>
    <t>Theo 010</t>
  </si>
  <si>
    <t>M0689</t>
  </si>
  <si>
    <t>Đitomát</t>
  </si>
  <si>
    <t>M0690</t>
  </si>
  <si>
    <t>Ni 030</t>
  </si>
  <si>
    <t>M0691</t>
  </si>
  <si>
    <t>Ni 004</t>
  </si>
  <si>
    <t>M0692</t>
  </si>
  <si>
    <t>Dalta 020</t>
  </si>
  <si>
    <t>M0693</t>
  </si>
  <si>
    <t>Bộ đo Mia bala</t>
  </si>
  <si>
    <t>M0694</t>
  </si>
  <si>
    <t>Máy thuỷ bình NA 720</t>
  </si>
  <si>
    <t>M0695</t>
  </si>
  <si>
    <t>Máy toàn đạc điện tử</t>
  </si>
  <si>
    <t>M0696</t>
  </si>
  <si>
    <t>Bộ thiết bị không chế mặt bằng GPS (3 máy)</t>
  </si>
  <si>
    <t>M0697</t>
  </si>
  <si>
    <t>Xe chuyên dùng (Pajero)</t>
  </si>
  <si>
    <t>Máy, thiết bị quang học:</t>
  </si>
  <si>
    <t>M0698</t>
  </si>
  <si>
    <t>ống nhòm</t>
  </si>
  <si>
    <t>M0699</t>
  </si>
  <si>
    <t>Kính hiển vi</t>
  </si>
  <si>
    <t>M0700</t>
  </si>
  <si>
    <t>Kính hiển vi điện tử quét</t>
  </si>
  <si>
    <t>M0701</t>
  </si>
  <si>
    <t>Máy ảnh</t>
  </si>
  <si>
    <t>Máy, thiết bị kiểm tra nền, mặt đường bộ:</t>
  </si>
  <si>
    <t>M0702</t>
  </si>
  <si>
    <t>Cần Belkenman</t>
  </si>
  <si>
    <t>M0703</t>
  </si>
  <si>
    <t>Thiết bị đếm phóng xạ</t>
  </si>
  <si>
    <t>M0704</t>
  </si>
  <si>
    <t>TRL Profile Beam</t>
  </si>
  <si>
    <t>M0705</t>
  </si>
  <si>
    <t>Máy FWD</t>
  </si>
  <si>
    <t>M0706</t>
  </si>
  <si>
    <t>Thiết bị đo phản ứng Romdas</t>
  </si>
  <si>
    <t>Thiết bị kiểm tra chất lượng cọc khoan nhồi:</t>
  </si>
  <si>
    <t>M0707</t>
  </si>
  <si>
    <t>Bộ thiết bị PIT (đo biến dạng nhỏ)</t>
  </si>
  <si>
    <t>M0708</t>
  </si>
  <si>
    <t>Bộ thiết bị đo PDA (đo biến dạng lớn)</t>
  </si>
  <si>
    <t>M0709</t>
  </si>
  <si>
    <t>Bộ thiết bị siêu âm</t>
  </si>
  <si>
    <t>Máy, thiết bị thăm dò địa chấn:</t>
  </si>
  <si>
    <t>M0710</t>
  </si>
  <si>
    <t>Loại 1 mạch (ES-125)</t>
  </si>
  <si>
    <t>M0711</t>
  </si>
  <si>
    <t>Loại 12 mạch (Triosx-12)</t>
  </si>
  <si>
    <t>M0712</t>
  </si>
  <si>
    <t>Loại 24 mạch (Triosx-24)</t>
  </si>
  <si>
    <t>Máy, thiết bị đo lường, thí nghiệm:</t>
  </si>
  <si>
    <t>M0713</t>
  </si>
  <si>
    <t>Cân điện tử</t>
  </si>
  <si>
    <t>M0714</t>
  </si>
  <si>
    <t>Cân phân tích</t>
  </si>
  <si>
    <t>CAPTION</t>
  </si>
  <si>
    <t>MACRO | POSITION</t>
  </si>
  <si>
    <t>code2</t>
  </si>
  <si>
    <t>code3</t>
  </si>
  <si>
    <t>code4</t>
  </si>
  <si>
    <t>Lệnh thêm vào số 3</t>
  </si>
  <si>
    <t>Lệnh thêm vào số 4</t>
  </si>
  <si>
    <t>Tạo đơn giá chi tiết theo bảng ngang</t>
  </si>
  <si>
    <t>dongiangang</t>
  </si>
  <si>
    <t>Chuyển đơn giá sang ngang</t>
  </si>
  <si>
    <t>Lệnh thêm vào số 5</t>
  </si>
  <si>
    <t>Lệnh thêm vào số 6</t>
  </si>
  <si>
    <t>code5</t>
  </si>
  <si>
    <t>code6</t>
  </si>
  <si>
    <t>Loại máy và thiết bị</t>
  </si>
  <si>
    <t>Hệ số thu hồi khi thanh lý</t>
  </si>
  <si>
    <t>CP 
khấu hao
(CKH)</t>
  </si>
  <si>
    <t>CP
Sửa chữa
(CSC)</t>
  </si>
  <si>
    <t>CP khác
(CCK)</t>
  </si>
  <si>
    <t>Hệ số nhiên liệu phụ</t>
  </si>
  <si>
    <t>Xăng (lít)</t>
  </si>
  <si>
    <t>Dầu Diezel (lít)</t>
  </si>
  <si>
    <t>Điện (kwh)</t>
  </si>
  <si>
    <t>Ma rút (lít)</t>
  </si>
  <si>
    <t>Máy đào một gầu, bánh xích -dung tích gầu:</t>
  </si>
  <si>
    <t>(Giá trị thu hồi = 0-5% giá trị tính khấu hao; chỉ tính máy có giá tính khấu hao &gt; 10triệu)</t>
  </si>
  <si>
    <t>M0001</t>
  </si>
  <si>
    <t xml:space="preserve"> 0,22 m3</t>
  </si>
  <si>
    <t>lít diezel</t>
  </si>
  <si>
    <t>1x4/7</t>
  </si>
  <si>
    <t>M0002</t>
  </si>
  <si>
    <t xml:space="preserve"> 0,30 m3</t>
  </si>
  <si>
    <t>M0003</t>
  </si>
  <si>
    <t xml:space="preserve"> 0,40 m3</t>
  </si>
  <si>
    <t>M0004</t>
  </si>
  <si>
    <t xml:space="preserve"> 0,50 m3</t>
  </si>
  <si>
    <t>M0005</t>
  </si>
  <si>
    <t xml:space="preserve"> 0,65 m3</t>
  </si>
  <si>
    <t>1x3/7+1x5/7</t>
  </si>
  <si>
    <t>M0006</t>
  </si>
  <si>
    <t xml:space="preserve"> 0,80 m3</t>
  </si>
  <si>
    <t>M0007</t>
  </si>
  <si>
    <t xml:space="preserve"> 1,00 m3</t>
  </si>
  <si>
    <t>1x4/7+1x6/7</t>
  </si>
  <si>
    <t>M0008</t>
  </si>
  <si>
    <t xml:space="preserve"> 1,20 m3</t>
  </si>
  <si>
    <t>M0009</t>
  </si>
  <si>
    <t xml:space="preserve"> 1,25 m3</t>
  </si>
  <si>
    <t>M0010</t>
  </si>
  <si>
    <t xml:space="preserve"> 1,60 m3</t>
  </si>
  <si>
    <t>M0011</t>
  </si>
  <si>
    <t xml:space="preserve"> 2,00 m3</t>
  </si>
  <si>
    <t>1x4/7+1x7/7</t>
  </si>
  <si>
    <t>M0012</t>
  </si>
  <si>
    <t xml:space="preserve"> 2,30 m3</t>
  </si>
  <si>
    <t>M0013</t>
  </si>
  <si>
    <t xml:space="preserve"> 2,50 m3</t>
  </si>
  <si>
    <t>M0014</t>
  </si>
  <si>
    <t xml:space="preserve"> 3,50 m3</t>
  </si>
  <si>
    <t>M0015</t>
  </si>
  <si>
    <t xml:space="preserve"> 3,60 m3</t>
  </si>
  <si>
    <t>M0016</t>
  </si>
  <si>
    <t xml:space="preserve"> 5,40 m3</t>
  </si>
  <si>
    <t>M0017</t>
  </si>
  <si>
    <t xml:space="preserve"> 6,50 m3</t>
  </si>
  <si>
    <t>M0018</t>
  </si>
  <si>
    <t xml:space="preserve"> 9,50 m3</t>
  </si>
  <si>
    <t>M0019</t>
  </si>
  <si>
    <t>10,40 m3</t>
  </si>
  <si>
    <t>Tầu kéo và phục vụ thi công thuỷ (làm neo, cấp dầu,...) - công suất:</t>
  </si>
  <si>
    <t>M0639</t>
  </si>
  <si>
    <t>1 Thuyền trưởng 1/2+2 Thợ máy (1x2/4+1x3/4)+1 Thợ điện 2/4+2 Thuỷ thủ 2/4</t>
  </si>
  <si>
    <t>M0640</t>
  </si>
  <si>
    <t>1 thuyền trưởng 2/2 + 1 thuyền phó I 1/2 + 1 máy I 1/2 + 2 thợ máy (1x3/4 + 1x2/4) + 2 thuỷ thủ (1x2/4 + 1x3/4)</t>
  </si>
  <si>
    <t>M0641</t>
  </si>
  <si>
    <t>360 CV</t>
  </si>
  <si>
    <t>M0642</t>
  </si>
  <si>
    <t>600 CV</t>
  </si>
  <si>
    <t>1 thuyền trưởng 2/2 + 1 thuyền phó I 2/2 + 1 máy I 2/2 + 3 thợ máy (2x3/4 + 1x2/4) + 4 thuỷ thủ (3x3/4 + 1x4/4)</t>
  </si>
  <si>
    <t>M0643</t>
  </si>
  <si>
    <t>1200 CV (tầu kéo biển)</t>
  </si>
  <si>
    <t>Xe nâng - chiều cao nâng:</t>
  </si>
  <si>
    <t>M0644</t>
  </si>
  <si>
    <t>12 m</t>
  </si>
  <si>
    <t>1x1/4+1x3/4 Loại  7,5 - 16,5 Tấn</t>
  </si>
  <si>
    <t>M0645</t>
  </si>
  <si>
    <t>18 m</t>
  </si>
  <si>
    <t>M0646</t>
  </si>
  <si>
    <t>24 m</t>
  </si>
  <si>
    <t xml:space="preserve">Xe thang - chiều dài thang: </t>
  </si>
  <si>
    <t>M0647</t>
  </si>
  <si>
    <t>9 m</t>
  </si>
  <si>
    <t>M0648</t>
  </si>
  <si>
    <t>M0649</t>
  </si>
  <si>
    <t>Bộ phao thả kè - Loại trọng tải, cự ly:</t>
  </si>
  <si>
    <t>M0650</t>
  </si>
  <si>
    <t>95 T L &lt;= 30 m</t>
  </si>
  <si>
    <t>M0651</t>
  </si>
  <si>
    <t>137 T - 30 &lt; L &lt;=70 m</t>
  </si>
  <si>
    <t>M0652</t>
  </si>
  <si>
    <t>190 T -L &gt; 70 m</t>
  </si>
  <si>
    <t>Tàu cuốc sông- công suất:</t>
  </si>
  <si>
    <t>M0653</t>
  </si>
  <si>
    <t>495 CV</t>
  </si>
  <si>
    <t>1 thuyền trưởng 2/2 + 1 thuyền phó 2/2 + 1 máy trưởng 2/2 + 1 máy hai 2/2 + 1 điện trưởng 2/2 + 1 kỹ thuật viên cuốc I 2/2 + 2 kỹ thuật viên cuốc II 2/2 + 4 thợ máy (3x3/4 + 1x4/4) + 4 thuỷ thủ (3x3/4 + 1x4/4)</t>
  </si>
  <si>
    <t>Tàu cuốc biển - công suất:</t>
  </si>
  <si>
    <t>M0654</t>
  </si>
  <si>
    <t>2085 CV</t>
  </si>
  <si>
    <t xml:space="preserve">1 thuyền trưởng 2/2 + 1 thuyền phó 2/2 + 1 máy trưởng 2/2 + 1 máy hai 2/2 + 1 điện trưởng 2/2 + 1 kỹ thuật viên cuốc I 2/2 + 2 kỹ thuật viên cuốc II 2/2 + 4 thợ máy (3x3/4 + 1x4/4) + 4 thuỷ thủ (3x3/4 + 1x4/4) </t>
  </si>
  <si>
    <t>Tàu hút bùn- công suất:</t>
  </si>
  <si>
    <t>M0655</t>
  </si>
  <si>
    <t xml:space="preserve">1 máy trưởng 2/2 + 1 kỹ thuật viên cuốc I 2/2 + 2 kỹ thuật viên cuốc II 2/2 + 2 thợ máy (1x2/4 + 1x4/4) + 2 thuỷ thủ (1x3/4 + 1x2/4) </t>
  </si>
  <si>
    <t>M0656</t>
  </si>
  <si>
    <t>300 CV</t>
  </si>
  <si>
    <t>1 thuyền trưởng 1/2 + thuyền phó 1/2 + 1 máy trưởng 2/2 + 1 kỹ thuật viên cuốc I 2/2 + 1 kỹ thuật viên cuốc II 2/2 + 2 thợ máy (1x3/4 +1x4/4) + 2 thuỷ thủ(1x3/4 + 1x2/4)</t>
  </si>
  <si>
    <t>M0657</t>
  </si>
  <si>
    <t>585 CV</t>
  </si>
  <si>
    <t>1 thuyền trưởng 2/2 + thuyền phó 2/2 + 1 máy trưởng 2/2 + 1 máy hai 2/2 + 1 kỹ thuật viên cuốc I 2/2 + 1 kỹ thuật viên cuốc II 2/2 + 2 thợ máy (1x3/4 + 1x4/4) + 4 thuỷ thủ (3x3/4 + 1x4/4)</t>
  </si>
  <si>
    <t>M0658</t>
  </si>
  <si>
    <t>900 CV</t>
  </si>
  <si>
    <t xml:space="preserve">1 thuyền trưởng 2/2 + thuyền phó 2/2 + 1 máy trưởng 2/2 + 1 máy hai 2/2 + 1 kỹ thuật viên cuốc I 2/2 + 1 kỹ thuật viên cuốc II 2/2 + 2 thợ máy (1x3/4 + 1x4/4) + 4 thuỷ thủ (3x3/4 + 1x4/4) </t>
  </si>
  <si>
    <t>M0659</t>
  </si>
  <si>
    <t>1200 CV</t>
  </si>
  <si>
    <t>1 thuyền trưởng 2/2 + thuyền phó 2/2 + 1 máy trưởng 2/2 + 1 máy hai 2/2 + 1 điện trưởng 2/2 + 1 kỹ thuật viên cuốc I 2/2 + 1 kỹ thuật viên cuốc II 2/2 + 6 thợ máy (5x3/4 + 1x4/4) + 2 thuỷ thủ (1x3/4 + 1x4/4)</t>
  </si>
  <si>
    <t>M0660</t>
  </si>
  <si>
    <t>4170 CV</t>
  </si>
  <si>
    <t xml:space="preserve">1 thuyền trưởng 2/2 + thuyền phó 2/2 + 1 máy trưởng 2/2 + 1 máy hai 2/2 + 1 điện trưởng 2/2 + 1 kỹ thuật viên cuốc I 2/2 + 3 kỹ thuật viên cuốc II 2/2 + 6 thợ máy (5x3/4 + 1x4/4) + 4 thuỷ thủ (3x3/4 + 1x4/4) </t>
  </si>
  <si>
    <t xml:space="preserve">Tàu hút bụng tự hành - công suất: </t>
  </si>
  <si>
    <t>M0661</t>
  </si>
  <si>
    <t>1390 CV</t>
  </si>
  <si>
    <t>1 thuyền trưởng 2/2 + thuyền phó 2/2 + 1 máy trưởng 2/2 + 1 máy hai 2/2 + 1 điện trưởng 2/2 + 1 kỹ thuật viên cuốc I 2/2 + 1 kỹ thuật viên cuốc II 2/2 + 2 thợ máy (1x3/4 + 1x4/4) + 4 thuỷ thủ (3x3/4 + 1x4/4)</t>
  </si>
  <si>
    <t>M0662</t>
  </si>
  <si>
    <t>5945 CV</t>
  </si>
  <si>
    <t>1 thuyền trưởng 2/2 + 1 thuyền phó 2/2 + 1 máy trưởng 2/2 + 1 máy hai 2/2 + 1 điện trưởng 2/2 + 1 kỹ thuật viên cuốc I 2/2 + 1 kỹ thuật viên cuốc II 2/2 + 2 thợ máy (1x3/4 + 1x4/4) + 4 thuỷ thủ (3x3/4 + 1x4/4)</t>
  </si>
  <si>
    <t>Tầu ngoạm (có tính năng phá đá ngầm), công suất 3170 CV - dung tích gầu:</t>
  </si>
  <si>
    <t>M0663</t>
  </si>
  <si>
    <t>17,00 m3</t>
  </si>
  <si>
    <t>Các chức danh quản lý vận hành luồng tàu biển VTS vận dụng xếp như Kiểm soát viên không lưu Bảng lương công nhân viên Hàng không dân dụng (B.8):</t>
  </si>
  <si>
    <t>1x3/4 Loại 16,5 -25,0 Tấn</t>
  </si>
  <si>
    <t xml:space="preserve">Ô tô tự đổ - trọng tải: </t>
  </si>
  <si>
    <t>M0116</t>
  </si>
  <si>
    <t>1x2/4 Loại &lt;= 3,5 Tấn</t>
  </si>
  <si>
    <t>M0117</t>
  </si>
  <si>
    <t xml:space="preserve"> 3,5 T</t>
  </si>
  <si>
    <t>M0118</t>
  </si>
  <si>
    <t>M0119</t>
  </si>
  <si>
    <t>M0120</t>
  </si>
  <si>
    <t>M0121</t>
  </si>
  <si>
    <t>M0122</t>
  </si>
  <si>
    <t>1x2/4 Loại  7,5 -16,5 Tấn</t>
  </si>
  <si>
    <t>M0123</t>
  </si>
  <si>
    <t>M0124</t>
  </si>
  <si>
    <t>M0125</t>
  </si>
  <si>
    <t>M0126</t>
  </si>
  <si>
    <t>M0127</t>
  </si>
  <si>
    <t xml:space="preserve"> 22,0 T</t>
  </si>
  <si>
    <t>M0128</t>
  </si>
  <si>
    <t>1x3/4 Loại 25,0 -40,0 Tấn</t>
  </si>
  <si>
    <t>M0129</t>
  </si>
  <si>
    <t xml:space="preserve"> 27,0 T</t>
  </si>
  <si>
    <t>M0130</t>
  </si>
  <si>
    <t xml:space="preserve"> 32,0 T</t>
  </si>
  <si>
    <t>M0131</t>
  </si>
  <si>
    <t xml:space="preserve"> 36,0 T</t>
  </si>
  <si>
    <t>M0132</t>
  </si>
  <si>
    <t xml:space="preserve"> 42,0 T</t>
  </si>
  <si>
    <t>1x3/4 Loại &gt; 40,0 tấn</t>
  </si>
  <si>
    <t>M0133</t>
  </si>
  <si>
    <t xml:space="preserve"> 55,0 T</t>
  </si>
  <si>
    <t>1x4/4 Loại &gt; 40,0 tấn</t>
  </si>
  <si>
    <t>Ô tô đầu kéo - công suất:</t>
  </si>
  <si>
    <t>M0134</t>
  </si>
  <si>
    <t xml:space="preserve"> 150,0 CV</t>
  </si>
  <si>
    <t>1x3/4 Loại  7,5 - 16,5 Tấn</t>
  </si>
  <si>
    <t>M0135</t>
  </si>
  <si>
    <t>M0136</t>
  </si>
  <si>
    <t xml:space="preserve"> 200,0 CV</t>
  </si>
  <si>
    <t>1x3/4 Loại  16,5 -25,0 Tấn</t>
  </si>
  <si>
    <t>M0137</t>
  </si>
  <si>
    <t xml:space="preserve"> 240,0 CV</t>
  </si>
  <si>
    <t>M0138</t>
  </si>
  <si>
    <t xml:space="preserve"> 255,0 CV</t>
  </si>
  <si>
    <t>M0139</t>
  </si>
  <si>
    <t xml:space="preserve"> 272,0 CV</t>
  </si>
  <si>
    <t xml:space="preserve">Ô tô chuyển trộn bê tông - dung tích thùng trộn: </t>
  </si>
  <si>
    <t>M0140</t>
  </si>
  <si>
    <t xml:space="preserve"> 5,0 m3 </t>
  </si>
  <si>
    <t xml:space="preserve">1x1/4 +1x3/4 Loại  7,5 -16,5 Tấn </t>
  </si>
  <si>
    <t>M0141</t>
  </si>
  <si>
    <t xml:space="preserve"> 6,0 m3 </t>
  </si>
  <si>
    <t>M0142</t>
  </si>
  <si>
    <t xml:space="preserve"> 8,0 m3 </t>
  </si>
  <si>
    <t xml:space="preserve">1x1/4 +1x3/4Loại  16,55 -25 Tấn </t>
  </si>
  <si>
    <t>M0143</t>
  </si>
  <si>
    <t xml:space="preserve"> 8,7 m3 </t>
  </si>
  <si>
    <t xml:space="preserve">1x1/4 +1x3/4 Loại  16,5 -25 Tấn </t>
  </si>
  <si>
    <t>M0144</t>
  </si>
  <si>
    <t xml:space="preserve"> 10,7 m3 </t>
  </si>
  <si>
    <t>M0145</t>
  </si>
  <si>
    <t xml:space="preserve"> 14,5 m3 </t>
  </si>
  <si>
    <t xml:space="preserve">1x1/4 +1x3/4 Loại  25 -40 Tấn </t>
  </si>
  <si>
    <t>Ô tô tưới nước - dung tích:</t>
  </si>
  <si>
    <t>M0146</t>
  </si>
  <si>
    <t xml:space="preserve"> 4,0 m3</t>
  </si>
  <si>
    <t>M0147</t>
  </si>
  <si>
    <t xml:space="preserve"> 5,0 m3</t>
  </si>
  <si>
    <t>M0148</t>
  </si>
  <si>
    <t xml:space="preserve"> 6,0 m3</t>
  </si>
  <si>
    <t>M0149</t>
  </si>
  <si>
    <t xml:space="preserve"> 7,0 m3</t>
  </si>
  <si>
    <t>M0150</t>
  </si>
  <si>
    <t>M0151</t>
  </si>
  <si>
    <t>16 m3</t>
  </si>
  <si>
    <t>Xe bồn hút bùn, hút mùn khoan, dung tích:</t>
  </si>
  <si>
    <t>M0152</t>
  </si>
  <si>
    <t>2,0 m3 (3 T)</t>
  </si>
  <si>
    <t>1x2/4 Loại  &lt;= 3,5 Tấn</t>
  </si>
  <si>
    <t>M0153</t>
  </si>
  <si>
    <t>3,0 m3 (4.5 T)</t>
  </si>
  <si>
    <t>Xe ép rác - trọng tải:</t>
  </si>
  <si>
    <t>M0154</t>
  </si>
  <si>
    <t>1,2 T</t>
  </si>
  <si>
    <t>M0155</t>
  </si>
  <si>
    <t>1,5 T</t>
  </si>
  <si>
    <t>M0156</t>
  </si>
  <si>
    <t>2,0 T</t>
  </si>
  <si>
    <t>M0157</t>
  </si>
  <si>
    <t>4,0 T</t>
  </si>
  <si>
    <t>M0158</t>
  </si>
  <si>
    <t>7,0 T</t>
  </si>
  <si>
    <t>M0159</t>
  </si>
  <si>
    <t>10,0 T</t>
  </si>
  <si>
    <t>M0160</t>
  </si>
  <si>
    <t>Xe ép rác kín (xe hooklip)</t>
  </si>
  <si>
    <t>M0161</t>
  </si>
  <si>
    <t>Xe tải thùng kín - tải trọng 1,5 tấn</t>
  </si>
  <si>
    <t>M0162</t>
  </si>
  <si>
    <t xml:space="preserve">Xe nhặt xác </t>
  </si>
  <si>
    <t xml:space="preserve">Xe ô tô tải có gắn cần trục - trọng tải xe: </t>
  </si>
  <si>
    <t>M0163</t>
  </si>
  <si>
    <t xml:space="preserve"> 5,0 T </t>
  </si>
  <si>
    <t xml:space="preserve">1x1/4 +1x3/4 Loại  3,5 -7,5 Tấn </t>
  </si>
  <si>
    <t>M0164</t>
  </si>
  <si>
    <t>M0165</t>
  </si>
  <si>
    <t>M0166</t>
  </si>
  <si>
    <t>Ô tô bán tải - trọng tải:</t>
  </si>
  <si>
    <t>M0167</t>
  </si>
  <si>
    <t>Rơ mooc - trọng tải:</t>
  </si>
  <si>
    <t>M0168</t>
  </si>
  <si>
    <t>1x1/4 loại &lt;3,5 tấn</t>
  </si>
  <si>
    <t>M0169</t>
  </si>
  <si>
    <t>1x1/4 loại 3,5 - 7,5 tấn</t>
  </si>
  <si>
    <t>M0170</t>
  </si>
  <si>
    <t xml:space="preserve"> 7,5 T</t>
  </si>
  <si>
    <t>1x1/4 loại 7,5 - 16,5 tấn</t>
  </si>
  <si>
    <t>M0171</t>
  </si>
  <si>
    <t xml:space="preserve"> 14,0 T</t>
  </si>
  <si>
    <t>M0172</t>
  </si>
  <si>
    <t>M0173</t>
  </si>
  <si>
    <t xml:space="preserve"> 21,0 T</t>
  </si>
  <si>
    <t>1x1/4 loại 16,5 - 25 tấn</t>
  </si>
  <si>
    <t>M0174</t>
  </si>
  <si>
    <t xml:space="preserve"> 40,0 T</t>
  </si>
  <si>
    <t>1x1/4 loại &gt;= 40 tấn</t>
  </si>
  <si>
    <t>M0175</t>
  </si>
  <si>
    <t xml:space="preserve"> 100,0 T</t>
  </si>
  <si>
    <t>M0176</t>
  </si>
  <si>
    <t>Giá ca máy
1.200.000
(đồng)</t>
  </si>
  <si>
    <t>Giá ca máy
1.050.000
(đồng)</t>
  </si>
  <si>
    <t>Giá ca máy
830.000
(đồng)</t>
  </si>
  <si>
    <t>Máy luồn cáp 15kW</t>
  </si>
  <si>
    <t>Máy cắt cáp 1kW</t>
  </si>
  <si>
    <t>Máy cắt cáp 10kW</t>
  </si>
  <si>
    <t>Trạm bơm dầu áp lực 40Mpa (HCP-400)</t>
  </si>
  <si>
    <t>Trạm bơm dầu áp lực 50Mpa (ZB4-500)</t>
  </si>
  <si>
    <t>Xe nâng hàng 1,5T</t>
  </si>
  <si>
    <t>Xe nâng hàng 2T</t>
  </si>
  <si>
    <t>Xe nâng hàng 3T</t>
  </si>
  <si>
    <t>Xe nâng hàng 3,2T</t>
  </si>
  <si>
    <t>Xe nâng hàng 3,5T</t>
  </si>
  <si>
    <t>Xe nâng hàng 5T</t>
  </si>
  <si>
    <t>Máy nâng phục vụ thi công hầm CS 135CV</t>
  </si>
  <si>
    <t>Máy trộn bê tông 100l</t>
  </si>
  <si>
    <t>Máy trộn bê tông 150l</t>
  </si>
  <si>
    <t>Máy trộn bê tông 200l</t>
  </si>
  <si>
    <t>Máy trộn bê tông 250l</t>
  </si>
  <si>
    <t>Máy trộn bê tông 425l</t>
  </si>
  <si>
    <t>Máy trộn bê tông 500l</t>
  </si>
  <si>
    <t>Máy trộn bê tông 800l</t>
  </si>
  <si>
    <t>Máy trộn bê tông 1150l</t>
  </si>
  <si>
    <t>Máy trộn bê tông 1600l</t>
  </si>
  <si>
    <t>Máy trộn vữa 80l</t>
  </si>
  <si>
    <t>Máy trộn vữa 110l</t>
  </si>
  <si>
    <t>Máy trộn vữa 150l</t>
  </si>
  <si>
    <t>Máy trộn vữa 200l</t>
  </si>
  <si>
    <t>Máy trộn vữa 250l</t>
  </si>
  <si>
    <t>Máy trộn vữa 325l</t>
  </si>
  <si>
    <t>Trạm trộn bê tông 16m3/h</t>
  </si>
  <si>
    <t>Trạm trộn 20m3/h</t>
  </si>
  <si>
    <t>Trạm trộn bê tông 22m3/h</t>
  </si>
  <si>
    <t>Trạm trộn 25m3/h</t>
  </si>
  <si>
    <t>Trạm trộn bê tông 30m3/h</t>
  </si>
  <si>
    <t>Trạm trộn 50m3/h</t>
  </si>
  <si>
    <t>Trạm trộn bê tông 60m3/h</t>
  </si>
  <si>
    <t>Trạm trộn bê tông 75m3/h</t>
  </si>
  <si>
    <t>Trạm trộn bê tông 125m3/h</t>
  </si>
  <si>
    <t>Máy bơm vữa 32-50m3/h</t>
  </si>
  <si>
    <t>Xe bơm bê tông tự hành 50m3/h</t>
  </si>
  <si>
    <t>Xe bơm bê tông tự hành 60m3/h</t>
  </si>
  <si>
    <t>Máy bơm bê tông 60-90m3/h</t>
  </si>
  <si>
    <t>Máy phun vẩy 9m3/h</t>
  </si>
  <si>
    <t>Máy phun vẩy 16m3/h</t>
  </si>
  <si>
    <t>Máy rải bê tông nhựa PS500</t>
  </si>
  <si>
    <t>Máy đầm bàn 0,4kW</t>
  </si>
  <si>
    <t>Máy đầm bàn 0,6kW</t>
  </si>
  <si>
    <t>Máy đầm bàn 0,8kW</t>
  </si>
  <si>
    <t>Đầm bàn 1kW</t>
  </si>
  <si>
    <t>Máy đầm dùi 1kW</t>
  </si>
  <si>
    <t>Máy đầm dùi 1,5kW</t>
  </si>
  <si>
    <t>Máy đầm dùi 2,8kW</t>
  </si>
  <si>
    <t>Máy đầm dùi 3,5kW</t>
  </si>
  <si>
    <t>Máy sàng rửa đá sỏi 11m3/h</t>
  </si>
  <si>
    <t>Máy sàng rửa đá sỏi 35m3/h</t>
  </si>
  <si>
    <t>Máy sàng rửa đá sỏi 45m3/h</t>
  </si>
  <si>
    <t>Máy nghiền đá di động 6m3/h</t>
  </si>
  <si>
    <t>Máy nghiền sàng đá di động 20m3/h</t>
  </si>
  <si>
    <t>Máy nghiền đá di động 25m3/h</t>
  </si>
  <si>
    <t>Máy nghiền đá di động 125m3/h</t>
  </si>
  <si>
    <t>Máy nghiền đá thô 14m3/h</t>
  </si>
  <si>
    <t>Máy nghiền đá thô 200m3/h</t>
  </si>
  <si>
    <t>Máy phun nhựa đường 190CV</t>
  </si>
  <si>
    <t>Máy rải hỗn hợp bê tông nhựa 65T/h</t>
  </si>
  <si>
    <t>Máy rải hỗn hợp bê tông nhựa 100T/h</t>
  </si>
  <si>
    <t>Máy cào bóc Wirtgen C100</t>
  </si>
  <si>
    <t>Thiết bị sơn kẻ vạch YHK 10A</t>
  </si>
  <si>
    <t>Thiết bị nấu nhựa</t>
  </si>
  <si>
    <t>Máy bơm O 48</t>
  </si>
  <si>
    <t>Máy bơm nước 4kW</t>
  </si>
  <si>
    <t>Máy bơm nước 4,5kW</t>
  </si>
  <si>
    <t>Máy bơm nước 7kW</t>
  </si>
  <si>
    <t>Máy bơm nước 10kW</t>
  </si>
  <si>
    <t>Máy bơm nước 14kW</t>
  </si>
  <si>
    <t>Máy bơm nước 20kW</t>
  </si>
  <si>
    <t>Máy bơm nước 22kW</t>
  </si>
  <si>
    <t>Máy bơm nước 28kW</t>
  </si>
  <si>
    <t>Máy bơm nước 30kW</t>
  </si>
  <si>
    <t>Máy bơm nước 40kW</t>
  </si>
  <si>
    <t>Máy bơm nước 50kW</t>
  </si>
  <si>
    <t>Máy bơm nước 55kW</t>
  </si>
  <si>
    <t>Máy bơm nước 75kW</t>
  </si>
  <si>
    <t>Máy bơm xói 4MC (bơm nước 75kW)</t>
  </si>
  <si>
    <t>Máy bơm nước 113kW</t>
  </si>
  <si>
    <t>Máy bơm nước diezel 5CV</t>
  </si>
  <si>
    <t>Máy bơm nước diezel 5,5CV</t>
  </si>
  <si>
    <t>Máy bơm nước diezel 7CV</t>
  </si>
  <si>
    <t>Máy bơm nước diezel 7,5CV</t>
  </si>
  <si>
    <t>Máy bơm nước diezel 10CV</t>
  </si>
  <si>
    <t>Máy bơm nước diezel 15CV</t>
  </si>
  <si>
    <t>Máy bơm nước diezel 20CV</t>
  </si>
  <si>
    <t>Máy bơm nước 250/50</t>
  </si>
  <si>
    <t>Máy bơm nước diezel 37CV</t>
  </si>
  <si>
    <t>Máy bơm nước diezel 45CV</t>
  </si>
  <si>
    <t>Máy bơm nước diezel 75CV</t>
  </si>
  <si>
    <t>Máy bơm nước động cơ diezel 100CV</t>
  </si>
  <si>
    <t>Máy bơm nước diezel 150CV</t>
  </si>
  <si>
    <t>Máy bơm áp lực sói nước đầu cọc (300CV)</t>
  </si>
  <si>
    <t>Máy bơm nước động cơ xăng 3CV</t>
  </si>
  <si>
    <t>Máy bơm nước động cơ xăng 4CV</t>
  </si>
  <si>
    <t>Máy bơm nước động cơ xăng 6CV</t>
  </si>
  <si>
    <t>Máy bơm nước động cơ xăng 7CV</t>
  </si>
  <si>
    <t>Máy bơm nước động cơ xăng 8CV</t>
  </si>
  <si>
    <t>Máy bơm rửa đường ống công suất 300CV (AH-151)</t>
  </si>
  <si>
    <t>Máy bơm rửa đường ống công suất 280CV (A-20,6)</t>
  </si>
  <si>
    <t>Máy bơm rửa đường ống công suất 90CV (AH-2)</t>
  </si>
  <si>
    <t>Máy nén thử đường ống công suất 75CV (AHO-20,1)</t>
  </si>
  <si>
    <t>Máy nén thử đường ống công suất 170CV lắp trên xe</t>
  </si>
  <si>
    <t>Vi áp kế đo áp lực đường ống</t>
  </si>
  <si>
    <t>Máy phát điện 2,5-3kW</t>
  </si>
  <si>
    <t>Máy phát điện 5,2kW</t>
  </si>
  <si>
    <t>Máy phát điện 8kW</t>
  </si>
  <si>
    <t>Máy phát điện 10kW</t>
  </si>
  <si>
    <t>Máy phát điện 15kW</t>
  </si>
  <si>
    <t>Máy phát điện 20kW</t>
  </si>
  <si>
    <t>Máy phát điện 25kW</t>
  </si>
  <si>
    <t>Máy phát điện 30kW</t>
  </si>
  <si>
    <t>Máy phát điện 38kW</t>
  </si>
  <si>
    <t>Máy phát điện 45kW</t>
  </si>
  <si>
    <t>Máy phát điện 50kW</t>
  </si>
  <si>
    <t>Máy phát điện 60kW</t>
  </si>
  <si>
    <t>Máy phát điện 75kW</t>
  </si>
  <si>
    <t>Máy phát điện 112kW</t>
  </si>
  <si>
    <t>Máy nén khí xăng 3m3/h</t>
  </si>
  <si>
    <t>Máy nén khí xăng 11m3/h</t>
  </si>
  <si>
    <t>Máy nén khí xăng 25m3/h</t>
  </si>
  <si>
    <t>Máy nén khí xăng 40m3/h</t>
  </si>
  <si>
    <t>Máy nén khí xăng 120m3/h</t>
  </si>
  <si>
    <t>Máy nén khí xăng 200m3/h</t>
  </si>
  <si>
    <t>Máy nén khí xăng 300m3/h</t>
  </si>
  <si>
    <t>Máy nén khí xăng 600m3/h</t>
  </si>
  <si>
    <t>Máy nén khí diezel 75m3/h</t>
  </si>
  <si>
    <t>Máy nén khí diezel 120m3/ph</t>
  </si>
  <si>
    <t>Máy nén khí diezel 200m3/h</t>
  </si>
  <si>
    <t>Máy nén khí diezel 240m3/h</t>
  </si>
  <si>
    <t>Máy nén khí diezel 300m3/h</t>
  </si>
  <si>
    <t>Máy nén khí diezel 360m3/h</t>
  </si>
  <si>
    <t>Máy nén khí diezel 420m3/h</t>
  </si>
  <si>
    <t>Máy nén khí diezel 540m3/h</t>
  </si>
  <si>
    <t>Máy nén khí diezel 600m3/h</t>
  </si>
  <si>
    <t>Máy nén khí diezel 660m3/h</t>
  </si>
  <si>
    <t>Máy nén khí diezel 1200m3/ph</t>
  </si>
  <si>
    <t>Máy nén khí điện 30m3/h</t>
  </si>
  <si>
    <t>Máy nén khí điện 56m3/h</t>
  </si>
  <si>
    <t>Máy nén khí điện 150m3/h</t>
  </si>
  <si>
    <t>Máy nén khí điện 216m3/h</t>
  </si>
  <si>
    <t>Máy nén khí điện 270m3/h</t>
  </si>
  <si>
    <t>Máy nén khí điện 300m3/h</t>
  </si>
  <si>
    <t>Máy nén khí điện 600m3/h</t>
  </si>
  <si>
    <t>Máy biến thế hàn một chiều 40kW</t>
  </si>
  <si>
    <t>Máy biến thế hàn một chiều 50kW</t>
  </si>
  <si>
    <t>Biến thế hàn 4kW</t>
  </si>
  <si>
    <t>Biến thế hàn 7kW</t>
  </si>
  <si>
    <t>Biến thế hàn 10kW</t>
  </si>
  <si>
    <t>Biến thế hàn 14kW</t>
  </si>
  <si>
    <t>Biến thế hàn 23kW</t>
  </si>
  <si>
    <t>Biến thế hàn 27,5kW</t>
  </si>
  <si>
    <t>Biến thế hàn 29,2kW</t>
  </si>
  <si>
    <t>Biến thế hàn 33,5kW</t>
  </si>
  <si>
    <t>Máy hàn xăng 9CV</t>
  </si>
  <si>
    <t>Máy hàn xăng 20CV</t>
  </si>
  <si>
    <t>Máy hàn diezel 4CV</t>
  </si>
  <si>
    <t>Máy hàn diezel 10,2CV</t>
  </si>
  <si>
    <t>Máy hàn hơi công suất 1000l/h</t>
  </si>
  <si>
    <t>Máy phun sơn 400m2/h</t>
  </si>
  <si>
    <t>Máy khoan đứng 2,5kW</t>
  </si>
  <si>
    <t>Máy khoan đứng công suất 4,5kW</t>
  </si>
  <si>
    <t>Máy khoan cầm tay 0,5kW</t>
  </si>
  <si>
    <t>Máy cắt sắt cầm tay 1kW</t>
  </si>
  <si>
    <t>Máy cắt sắt cầm tay 1,7kW</t>
  </si>
  <si>
    <t>Máy khoan bê tông cầm tay 0,62kW</t>
  </si>
  <si>
    <t>Máy khoan bê tông 1,5kW</t>
  </si>
  <si>
    <t>Máy cắt gạch đá 1,7kW</t>
  </si>
  <si>
    <t>Máy cắt bê tông 1,5kW</t>
  </si>
  <si>
    <t>Máy cắt bê tông 12CV (MCD218)</t>
  </si>
  <si>
    <t>Búa căn khí nén 1,5m3/h</t>
  </si>
  <si>
    <t>Máy uốn ống 2,8kW</t>
  </si>
  <si>
    <t>Máy cắt ống 5kW</t>
  </si>
  <si>
    <t>Máy cắt tôn 5kW</t>
  </si>
  <si>
    <t>Máy cắt tôn 15kW</t>
  </si>
  <si>
    <t>Máy lốc tôn 5kW</t>
  </si>
  <si>
    <t>Máy cắt đột 2,8kW</t>
  </si>
  <si>
    <t>Máy cắt uốn cốt thép 5kW</t>
  </si>
  <si>
    <t>Máy cưa kim loại 1,7kW</t>
  </si>
  <si>
    <t>Máy cưa kim loại 2,7kW</t>
  </si>
  <si>
    <t>Máy tiện 4,5kW</t>
  </si>
  <si>
    <t>Máy tiện 10kW</t>
  </si>
  <si>
    <t>Máy bào thép 7,5kW</t>
  </si>
  <si>
    <t>Máy phay bào 7kW</t>
  </si>
  <si>
    <t>Máy mài 1kW</t>
  </si>
  <si>
    <t>Mày mài 2,7kW</t>
  </si>
  <si>
    <t>Máy cưa gỗ cầm tay 1,3kW</t>
  </si>
  <si>
    <t>Máy cắt cỏ cầm tay 0,8kW</t>
  </si>
  <si>
    <t>Máy khoan đá cầm tay F42mm(động cơ điện)</t>
  </si>
  <si>
    <t>Máy khoan (F42mm truyền động khí nén)</t>
  </si>
  <si>
    <t>Máy khoan xoay đập tự hành D75-95mm</t>
  </si>
  <si>
    <t>Máy khoan xoay đập tự hành điện D150 (56kW)</t>
  </si>
  <si>
    <t>Máy khoan đập cáp 20Kw</t>
  </si>
  <si>
    <t>Máy khoan đập xoay tự hành F160-200 (90kW)</t>
  </si>
  <si>
    <t>Máy khoan đập xoay tự hành F51-76 (310CV)</t>
  </si>
  <si>
    <t>Máy khoan đập xoay tự hành F76-89 (145CV)</t>
  </si>
  <si>
    <t>Máy khoan đập xoay tự hành F89-102 (220CV)</t>
  </si>
  <si>
    <t>Máy khoan đập xoay tự hành F102-115 (300CV)</t>
  </si>
  <si>
    <t>Máy khoan đập xoay tự hành F115-127 (144CV)</t>
  </si>
  <si>
    <t>Máy khoan đập xoay tự hành F127-152 (335CV)</t>
  </si>
  <si>
    <t>Máy khoan xoay cầu điện D243-269 (322kW)</t>
  </si>
  <si>
    <t>Máy khoan xoay cầu diezel D152-228 (450CV)</t>
  </si>
  <si>
    <t>Máy khoan hầm tự hành diezel D45 (2 cần-147 CV)</t>
  </si>
  <si>
    <t>Máy khoan hầm tự hành diezel D45 (3 cần-255CV)</t>
  </si>
  <si>
    <t>Máy khoan néo-độ sâu khoan 3,5m (80CV)</t>
  </si>
  <si>
    <t>Máy khoan ngược D2,4m (250kW)</t>
  </si>
  <si>
    <t>Tổ hợp dàn khoan leo 9kW</t>
  </si>
  <si>
    <t>Máy khoan đập cáp 40kW</t>
  </si>
  <si>
    <t>Máy khoan xoay 54 CV</t>
  </si>
  <si>
    <t>Máy khoan xoay 300CV</t>
  </si>
  <si>
    <t>Máy khoan ngầm có định hướng</t>
  </si>
  <si>
    <t>Hệ thống STS</t>
  </si>
  <si>
    <t>Bộ thiết bị khoan đặt ống ngầm ĐK&lt;=600mm</t>
  </si>
  <si>
    <t>Máy khoan ngang UĐB4</t>
  </si>
  <si>
    <t>Máy khoan YG60</t>
  </si>
  <si>
    <t>Búa diezel tự hành bánh xích-0,6T</t>
  </si>
  <si>
    <t>Búa diezel tự hành bánh xích-1,2T</t>
  </si>
  <si>
    <t>Búa diezel tự hành bánh xích-1,8T</t>
  </si>
  <si>
    <t>Búa diezel tự hành bánh xích-3,5T</t>
  </si>
  <si>
    <t>Búa diezel tự hành bánh xích-4,5T</t>
  </si>
  <si>
    <t>Búa rung cọc cát tự hành bánh xích 60kW</t>
  </si>
  <si>
    <t>Búa rung 40kW</t>
  </si>
  <si>
    <t>Búa rung 50kW</t>
  </si>
  <si>
    <t>Búa rung 170kW</t>
  </si>
  <si>
    <t>Búa đóng cọc nổi 1,8T</t>
  </si>
  <si>
    <t>Búa đóng cọc nổi (cả sà lan và máy phụ trợ)&lt;=2,5T</t>
  </si>
  <si>
    <t>Búa đóng cọc nổi 3,5T</t>
  </si>
  <si>
    <t>Tàu đóng cọc (C96) búa thủy lực 7,5T</t>
  </si>
  <si>
    <t>Máy ép cọc trước 60T</t>
  </si>
  <si>
    <t>Máy ép cọc trước 100T</t>
  </si>
  <si>
    <t>Máy ép cọc trước 150T</t>
  </si>
  <si>
    <t>Máy ép cọc trước 200T</t>
  </si>
  <si>
    <t>Máy ép thủy lực 130T</t>
  </si>
  <si>
    <t>Máy cấy bấc thấm</t>
  </si>
  <si>
    <t>Máy khoan TRC-15</t>
  </si>
  <si>
    <t>Máy khoan ED</t>
  </si>
  <si>
    <t>Máy khoan QJ250</t>
  </si>
  <si>
    <t>Máy khoan VRM 2000HD</t>
  </si>
  <si>
    <t>Máy khoan đá momen xoay &gt;200KNm</t>
  </si>
  <si>
    <t>Máy trộn dung dịch 750l</t>
  </si>
  <si>
    <t>Máy trộn dung dịch 1000l</t>
  </si>
  <si>
    <t>Máy sàng lọc Bentonit BE100-100m3/h</t>
  </si>
  <si>
    <t>Sà lan công trình 100T</t>
  </si>
  <si>
    <t>Sà lan 400T</t>
  </si>
  <si>
    <t>Sà lan 800T</t>
  </si>
  <si>
    <t>Phà chuyên dụng 250T</t>
  </si>
  <si>
    <t>Phao thép 10T</t>
  </si>
  <si>
    <t>Ca nô 15CV</t>
  </si>
  <si>
    <t>Ca nô 23CV</t>
  </si>
  <si>
    <t>Ca nô 30CV</t>
  </si>
  <si>
    <t>Ca nô 55CV</t>
  </si>
  <si>
    <t>Ca nô 75CV</t>
  </si>
  <si>
    <t>Ca nô 90CV</t>
  </si>
  <si>
    <t>Ca nô 120CV</t>
  </si>
  <si>
    <t>Ca nô 150CV</t>
  </si>
  <si>
    <t>Tầu công tác sông 12CV</t>
  </si>
  <si>
    <t>Tầu công tác sông 25CV</t>
  </si>
  <si>
    <t>Tầu công tác sông 33CV</t>
  </si>
  <si>
    <t>Tầu công tác sông 50CV</t>
  </si>
  <si>
    <t>Tầu công tác sông 90CV</t>
  </si>
  <si>
    <t>Tầu công tác 150CV</t>
  </si>
  <si>
    <t>Tầu công tác 190CV</t>
  </si>
  <si>
    <t>Xuồng cao tốc công suất 25C</t>
  </si>
  <si>
    <t>Xuồng cao tốc công suất 50C</t>
  </si>
  <si>
    <t>Xuồng vớt rác công suất 4CV</t>
  </si>
  <si>
    <t>Xuồng vớt rác công suất 24CV</t>
  </si>
  <si>
    <t>Lò đốt rác y tế bằng gas 7T/ngày</t>
  </si>
  <si>
    <t>Tàu kéo 75CV</t>
  </si>
  <si>
    <t>Tầu kéo 150CV</t>
  </si>
  <si>
    <t>Tàu cấp dầu 360CV</t>
  </si>
  <si>
    <t>Tàu cấp dầu 600CV</t>
  </si>
  <si>
    <t>Tàu kéo 1200CV</t>
  </si>
  <si>
    <t>Xe nâng chiều cao tới 12m</t>
  </si>
  <si>
    <t>Xe nâng chiều cao tới 18m</t>
  </si>
  <si>
    <t>Xe nâng chiều cao tới 24m</t>
  </si>
  <si>
    <t>Xe thang chiều cao tới 9m</t>
  </si>
  <si>
    <t>Bộ phao thả kè-trọng tải 95T L&lt;=30 m</t>
  </si>
  <si>
    <t>Tàu cuốc sông TC82 495CV (hoặc tương tự)</t>
  </si>
  <si>
    <t>Tàu cuốc biển 2085CV (hoặc tương tự)</t>
  </si>
  <si>
    <t>Tầu hút bùn diezel 150CV</t>
  </si>
  <si>
    <t>Tầu hút bùn 300CV</t>
  </si>
  <si>
    <t>Tàu hút bùn 585CV (hoặc tương tự)</t>
  </si>
  <si>
    <t>Tầu hút bùn 900CV</t>
  </si>
  <si>
    <t>Tầu hút bùn 1200CV (hoặc tương tự)</t>
  </si>
  <si>
    <t>Tầu hút bùn HA97 4170CV (hoặc tương tự)</t>
  </si>
  <si>
    <t>Tàu hút bụng tự hành HB88 1390CV</t>
  </si>
  <si>
    <t>Tầu hút bụng tự hành 5945CV (hoặc tương tự)</t>
  </si>
  <si>
    <t>Tàu đào gầu ngoạm 3170CV</t>
  </si>
  <si>
    <t>Xáng cạp 0,65m3</t>
  </si>
  <si>
    <t>Xáng cạp 1m3</t>
  </si>
  <si>
    <t>Xáng cạp 1,25m3</t>
  </si>
  <si>
    <t>Quạt gió 2,5kW</t>
  </si>
  <si>
    <t>Quạt gió CB-5M</t>
  </si>
  <si>
    <t>bộ khoan tay</t>
  </si>
  <si>
    <t>Bộ nén ngang GA hoặc tương tự</t>
  </si>
  <si>
    <t>Búa căn MO-10</t>
  </si>
  <si>
    <t>Búa khoan tay P30</t>
  </si>
  <si>
    <t>Thùng trục 0,5m3</t>
  </si>
  <si>
    <t>Máy khoan F-60L hoặc B-40L hoặc loại tương tự để khoan tạo lỗ</t>
  </si>
  <si>
    <t xml:space="preserve">Máy nén khí, động cơ diezel - năng suất: </t>
  </si>
  <si>
    <t>M0455</t>
  </si>
  <si>
    <t>5,50m3/h</t>
  </si>
  <si>
    <t>M0456</t>
  </si>
  <si>
    <t>75,00m3/h</t>
  </si>
  <si>
    <t>M0457</t>
  </si>
  <si>
    <t>102,00m3/h</t>
  </si>
  <si>
    <t>M0458</t>
  </si>
  <si>
    <t>120,00m3/h</t>
  </si>
  <si>
    <t>M0459</t>
  </si>
  <si>
    <t>200,00m3/h</t>
  </si>
  <si>
    <t>M0460</t>
  </si>
  <si>
    <t>240,00m3/h</t>
  </si>
  <si>
    <t>M0461</t>
  </si>
  <si>
    <t>300,00m3/h</t>
  </si>
  <si>
    <t>M0462</t>
  </si>
  <si>
    <t>360,00m3/h</t>
  </si>
  <si>
    <t>M0463</t>
  </si>
  <si>
    <t>420,00m3/h</t>
  </si>
  <si>
    <t>M0464</t>
  </si>
  <si>
    <t>540,00m3/h</t>
  </si>
  <si>
    <t>M0465</t>
  </si>
  <si>
    <t>600,00m3/h</t>
  </si>
  <si>
    <t>M0466</t>
  </si>
  <si>
    <t>660,00m3/h</t>
  </si>
  <si>
    <t>M0467</t>
  </si>
  <si>
    <t>1200,00m3/h</t>
  </si>
  <si>
    <t>Máy nén khí, động cơ điện - năng suất:</t>
  </si>
  <si>
    <t>M0468</t>
  </si>
  <si>
    <t>5,0m3/h</t>
  </si>
  <si>
    <t>M0469</t>
  </si>
  <si>
    <t>10,0m3/h</t>
  </si>
  <si>
    <t>M0470</t>
  </si>
  <si>
    <t>M0471</t>
  </si>
  <si>
    <t>M0472</t>
  </si>
  <si>
    <t>56,0m3/h</t>
  </si>
  <si>
    <t>M0473</t>
  </si>
  <si>
    <t>150,0m3/h</t>
  </si>
  <si>
    <t>M0474</t>
  </si>
  <si>
    <t>216,0m3/h</t>
  </si>
  <si>
    <t>M0475</t>
  </si>
  <si>
    <t>270,0m3/h</t>
  </si>
  <si>
    <t>M0476</t>
  </si>
  <si>
    <t>M0477</t>
  </si>
  <si>
    <t>Máy biến thế hàn một chiều - công suất:</t>
  </si>
  <si>
    <t>M0478</t>
  </si>
  <si>
    <t>40,0 kW</t>
  </si>
  <si>
    <t>M0479</t>
  </si>
  <si>
    <t>Biến thế hàn xoay chiều - công suất:</t>
  </si>
  <si>
    <t>M0480</t>
  </si>
  <si>
    <t>4,0 kW</t>
  </si>
  <si>
    <t>M0481</t>
  </si>
  <si>
    <t>7,0 kW</t>
  </si>
  <si>
    <t>M0482</t>
  </si>
  <si>
    <t>7,5KW</t>
  </si>
  <si>
    <t>M0483</t>
  </si>
  <si>
    <t>M0484</t>
  </si>
  <si>
    <t>14,0 kW</t>
  </si>
  <si>
    <t>M0485</t>
  </si>
  <si>
    <t>23,0 kW</t>
  </si>
  <si>
    <t>M0486</t>
  </si>
  <si>
    <t>27,5 kW</t>
  </si>
  <si>
    <t>M0487</t>
  </si>
  <si>
    <t>29,2 kW</t>
  </si>
  <si>
    <t>M0488</t>
  </si>
  <si>
    <t>33,5 kW</t>
  </si>
  <si>
    <t xml:space="preserve">Máy hàn điện, động cơ xăng - công suất: </t>
  </si>
  <si>
    <t>M0489</t>
  </si>
  <si>
    <t>9,0 CV</t>
  </si>
  <si>
    <t>M0490</t>
  </si>
  <si>
    <t xml:space="preserve">Máy hàn điện, động cơ diezel - công suất: </t>
  </si>
  <si>
    <t>M0491</t>
  </si>
  <si>
    <t>M0492</t>
  </si>
  <si>
    <t>10,2 CV</t>
  </si>
  <si>
    <t>M0493</t>
  </si>
  <si>
    <t>27,5 CV</t>
  </si>
  <si>
    <t>Máy hàn hơi - công suất:</t>
  </si>
  <si>
    <t>M0494</t>
  </si>
  <si>
    <t>1000 l/h</t>
  </si>
  <si>
    <t>M0495</t>
  </si>
  <si>
    <t>2000 l/h</t>
  </si>
  <si>
    <t>M0496</t>
  </si>
  <si>
    <t>Máy hàn cắt dưới nước</t>
  </si>
  <si>
    <t>1 Thợ lặn cấp I 1/2+1 thợ lặn 2/4</t>
  </si>
  <si>
    <t xml:space="preserve">Máy phun sơn (chưa tính khí nén) - năng suất: </t>
  </si>
  <si>
    <t>M0497</t>
  </si>
  <si>
    <t>400,0 m2/h</t>
  </si>
  <si>
    <t>M0498</t>
  </si>
  <si>
    <t>Máy phun cát (chưa tính khí nén)</t>
  </si>
  <si>
    <t xml:space="preserve">Máy khoan đứng - công suất: </t>
  </si>
  <si>
    <t>M0499</t>
  </si>
  <si>
    <t>2,5 kW</t>
  </si>
  <si>
    <t>M0500</t>
  </si>
  <si>
    <t>4,5 kW</t>
  </si>
  <si>
    <t>Máy khoan sắt cầm tay, đường kính khoan:</t>
  </si>
  <si>
    <t>M0501</t>
  </si>
  <si>
    <t xml:space="preserve">13 mm </t>
  </si>
  <si>
    <t>Máy cắt sắt cầm tay - công suất:</t>
  </si>
  <si>
    <t>M0502</t>
  </si>
  <si>
    <t xml:space="preserve">1,0 kW </t>
  </si>
  <si>
    <t>M0503</t>
  </si>
  <si>
    <t xml:space="preserve">1,7 kW </t>
  </si>
  <si>
    <t>Máy khoan bê tông cầm tay - công suất:</t>
  </si>
  <si>
    <t>M0504</t>
  </si>
  <si>
    <t xml:space="preserve">0,62 kW </t>
  </si>
  <si>
    <t>M0505</t>
  </si>
  <si>
    <t xml:space="preserve">0,75 kW </t>
  </si>
  <si>
    <t>M0506</t>
  </si>
  <si>
    <t xml:space="preserve">0,85 kW </t>
  </si>
  <si>
    <t>M0507</t>
  </si>
  <si>
    <t xml:space="preserve">1,05 kW </t>
  </si>
  <si>
    <t>M0508</t>
  </si>
  <si>
    <t xml:space="preserve">1,50 kW </t>
  </si>
  <si>
    <t>Máy cắt gạch đá - công suất:</t>
  </si>
  <si>
    <t>M0509</t>
  </si>
  <si>
    <t>1,7 kW</t>
  </si>
  <si>
    <t>Máy cắt bê tông - công suất:</t>
  </si>
  <si>
    <t>M0510</t>
  </si>
  <si>
    <t>M0511</t>
  </si>
  <si>
    <t xml:space="preserve">7,50 kW </t>
  </si>
  <si>
    <t>M0512</t>
  </si>
  <si>
    <t xml:space="preserve">12 CV (MCD 218) </t>
  </si>
  <si>
    <t xml:space="preserve">Búa căn khí nén (chưa tính khí nén) - tiêu hao khí nén: </t>
  </si>
  <si>
    <t>M0513</t>
  </si>
  <si>
    <t>1,5m3/ph</t>
  </si>
  <si>
    <t>M0514</t>
  </si>
  <si>
    <t>3,0m3/ph</t>
  </si>
  <si>
    <t>Máy uốn ống - công suất:</t>
  </si>
  <si>
    <t>M0515</t>
  </si>
  <si>
    <t>Máy cắt ống - công suất:</t>
  </si>
  <si>
    <t>M0516</t>
  </si>
  <si>
    <t>5,0 kW</t>
  </si>
  <si>
    <t xml:space="preserve">Máy cắt tôn - công suất: </t>
  </si>
  <si>
    <t>M0517</t>
  </si>
  <si>
    <t>M0518</t>
  </si>
  <si>
    <t>M0519</t>
  </si>
  <si>
    <t>Máy khoan YG 60</t>
  </si>
  <si>
    <t>Búa diezel ,tự hành, bánh xích - trọng lượng đầu búa:</t>
  </si>
  <si>
    <t>M0565</t>
  </si>
  <si>
    <t xml:space="preserve"> 0,6 T</t>
  </si>
  <si>
    <t>1x2/7+1x4/7+1x5/7</t>
  </si>
  <si>
    <t>M0566</t>
  </si>
  <si>
    <t xml:space="preserve"> 1,2 T</t>
  </si>
  <si>
    <t>M0567</t>
  </si>
  <si>
    <t xml:space="preserve"> 1,8 T</t>
  </si>
  <si>
    <t>1x2/7+1x4/7+1x6/7</t>
  </si>
  <si>
    <t>M0568</t>
  </si>
  <si>
    <t>2x2/7+1x4/7+1x6/7</t>
  </si>
  <si>
    <t>M0569</t>
  </si>
  <si>
    <t xml:space="preserve"> 4,5 T</t>
  </si>
  <si>
    <t>Búa diezel chạy trên ray - trọng lượng đầu búa:</t>
  </si>
  <si>
    <t>M0570</t>
  </si>
  <si>
    <t>24
14,12</t>
  </si>
  <si>
    <t>lít diezel
kWh</t>
  </si>
  <si>
    <t>1,05
1,07</t>
  </si>
  <si>
    <t>1x2/7+1x3/7+1x4/7</t>
  </si>
  <si>
    <t>M0571</t>
  </si>
  <si>
    <t>1,8 T</t>
  </si>
  <si>
    <t>30
14,12</t>
  </si>
  <si>
    <t>1x2/7+1x3/7+1x5/7</t>
  </si>
  <si>
    <t>M0572</t>
  </si>
  <si>
    <t>2,2 T</t>
  </si>
  <si>
    <t>33
14,12</t>
  </si>
  <si>
    <t>M0573</t>
  </si>
  <si>
    <t>36
25,42</t>
  </si>
  <si>
    <t>2x2/7+1x3/7+1x6/7</t>
  </si>
  <si>
    <t>M0574</t>
  </si>
  <si>
    <t>48
25,42</t>
  </si>
  <si>
    <t>M0575</t>
  </si>
  <si>
    <t>4,5 T</t>
  </si>
  <si>
    <t>63
33,75</t>
  </si>
  <si>
    <t>M0576</t>
  </si>
  <si>
    <t>5,5 T</t>
  </si>
  <si>
    <t xml:space="preserve">78
33,75 </t>
  </si>
  <si>
    <t xml:space="preserve">Búa rung cọc cát, tự hành, bánh xích - công suất: </t>
  </si>
  <si>
    <t>M0577</t>
  </si>
  <si>
    <t>1x3/7+1x5/7+1x6/7</t>
  </si>
  <si>
    <t>Búa rung - công suất:</t>
  </si>
  <si>
    <t>M0578</t>
  </si>
  <si>
    <t>M0579</t>
  </si>
  <si>
    <t>M0580</t>
  </si>
  <si>
    <t>170,0 kW</t>
  </si>
  <si>
    <t>Búa đóng cọc nổi (cả xà lan và máy phụ trợ) - trọng lượng búa:</t>
  </si>
  <si>
    <t>M0581</t>
  </si>
  <si>
    <t>&lt;= 1,8 T</t>
  </si>
  <si>
    <t>T.ph2.1/2+3thợ máy(2x2/4+1x3/4)
+1thợ điện2/4+1 Thủy thủ2/4</t>
  </si>
  <si>
    <t>M0582</t>
  </si>
  <si>
    <t xml:space="preserve"> &lt;= 2,5 T</t>
  </si>
  <si>
    <t>M0583</t>
  </si>
  <si>
    <t xml:space="preserve"> &lt;= 3,5 T</t>
  </si>
  <si>
    <t>T.ph2.1/2+3thợ máy(2x2/4+1x3/4)+1thợ điện2/4+1 Thủy thủ2/4</t>
  </si>
  <si>
    <t>Tàu đóng cọc C 96-búa thuỷ lực, trọng lượng đầu búa:</t>
  </si>
  <si>
    <t>M0584</t>
  </si>
  <si>
    <t>7,5 T</t>
  </si>
  <si>
    <t>T.tr1/2+T.pII.1/2+4thợ máy(3x2/4+1x4/4)
+1thợ điện3/4+1 Thuỷ thủ 2/4</t>
  </si>
  <si>
    <t xml:space="preserve">Máy ép cọc trước - lực ép: </t>
  </si>
  <si>
    <t>M0585</t>
  </si>
  <si>
    <t>M0586</t>
  </si>
  <si>
    <t>100 T</t>
  </si>
  <si>
    <t>M0587</t>
  </si>
  <si>
    <t>150 T</t>
  </si>
  <si>
    <t>M0588</t>
  </si>
  <si>
    <t>200 T</t>
  </si>
  <si>
    <t>M0589</t>
  </si>
  <si>
    <t>Máy ép cọc sau</t>
  </si>
  <si>
    <t>Máy ép thuỷ lực (KGK-130C4) - lực ép:</t>
  </si>
  <si>
    <t>M0590</t>
  </si>
  <si>
    <t>130 T</t>
  </si>
  <si>
    <t>M0591</t>
  </si>
  <si>
    <t>Máy cắm bấc thấm</t>
  </si>
  <si>
    <t>Máy khoan cọc nhồi:</t>
  </si>
  <si>
    <t>M0592</t>
  </si>
  <si>
    <t>Búa khoan VRM 1500/800HD</t>
  </si>
  <si>
    <t>M0593</t>
  </si>
  <si>
    <t>Bộ thiết bị khoan nhồi TRC-15</t>
  </si>
  <si>
    <t>2x6/7+1x5/7+1x4/7+2x3/7</t>
  </si>
  <si>
    <t>M0594</t>
  </si>
  <si>
    <t>Máy khoan cọc nhồi GPS 15</t>
  </si>
  <si>
    <t>M0595</t>
  </si>
  <si>
    <t>Máy khoan cọc nhồi ED</t>
  </si>
  <si>
    <t>M0596</t>
  </si>
  <si>
    <t>Máy khoan cọc nhồi QJ 250</t>
  </si>
  <si>
    <t>M0597</t>
  </si>
  <si>
    <t>Máy khoan cọc nhồi VRM 2000</t>
  </si>
  <si>
    <t>M0598</t>
  </si>
  <si>
    <t>Máy khoan có mô men xoay &gt;200 kNm</t>
  </si>
  <si>
    <t>Máy trộn dung dịch khoan - dung tích:</t>
  </si>
  <si>
    <t>M0599</t>
  </si>
  <si>
    <t>&lt;= 750 lít</t>
  </si>
  <si>
    <t>M0600</t>
  </si>
  <si>
    <t xml:space="preserve">1000 lít </t>
  </si>
  <si>
    <t xml:space="preserve">Máy sàng lọc Bentonit BE100 - năng suất: </t>
  </si>
  <si>
    <t>M0601</t>
  </si>
  <si>
    <t>100 m3/h</t>
  </si>
  <si>
    <t xml:space="preserve">Xà lan công trình - trọng tải: </t>
  </si>
  <si>
    <t>M0602</t>
  </si>
  <si>
    <t>2 x Thuỷ thủ 2/4</t>
  </si>
  <si>
    <t>M0603</t>
  </si>
  <si>
    <t>200,0 T</t>
  </si>
  <si>
    <t>M0604</t>
  </si>
  <si>
    <t>250,0 T</t>
  </si>
  <si>
    <t>M0605</t>
  </si>
  <si>
    <t>300,0 T</t>
  </si>
  <si>
    <t>M0606</t>
  </si>
  <si>
    <t>400,0 T</t>
  </si>
  <si>
    <t>M0607</t>
  </si>
  <si>
    <t>600,0 T</t>
  </si>
  <si>
    <t>M0608</t>
  </si>
  <si>
    <t>800,0 T</t>
  </si>
  <si>
    <t>M0609</t>
  </si>
  <si>
    <t>1000,0 T</t>
  </si>
  <si>
    <t>Phà chuyên dùng, trọng tải:</t>
  </si>
  <si>
    <t>M0610</t>
  </si>
  <si>
    <t>1T.trưởng1/2+3t.thủ2/4+2thợ máy3/4</t>
  </si>
  <si>
    <t>Phao thép, trọng tải:</t>
  </si>
  <si>
    <t>M0611</t>
  </si>
  <si>
    <t>M0612</t>
  </si>
  <si>
    <t>15 T</t>
  </si>
  <si>
    <t>M0613</t>
  </si>
  <si>
    <t>M0614</t>
  </si>
  <si>
    <t>M0615</t>
  </si>
  <si>
    <t>Ca nô - công suất:</t>
  </si>
  <si>
    <t>M0616</t>
  </si>
  <si>
    <t>15 CV</t>
  </si>
  <si>
    <t>1 Thuyền trưởng 1/2</t>
  </si>
  <si>
    <t>M0617</t>
  </si>
  <si>
    <t>23 CV</t>
  </si>
  <si>
    <t>M0618</t>
  </si>
  <si>
    <t>30 CV</t>
  </si>
  <si>
    <t>M0619</t>
  </si>
  <si>
    <t>55 CV</t>
  </si>
  <si>
    <t>1 Thuyền trưởng 1/2+1t.thủ 2/4</t>
  </si>
  <si>
    <t>M0620</t>
  </si>
  <si>
    <t>75 CV</t>
  </si>
  <si>
    <t>M0621</t>
  </si>
  <si>
    <t>90 CV</t>
  </si>
  <si>
    <t>M0622</t>
  </si>
  <si>
    <t>120 CV</t>
  </si>
  <si>
    <t>M0623</t>
  </si>
  <si>
    <t>150 CV</t>
  </si>
  <si>
    <t>1 Thuyền trưởng 1/2+1 máy I 1/2+1t.thủ2/4</t>
  </si>
  <si>
    <t xml:space="preserve">Tàu công tác sông - công suất: </t>
  </si>
  <si>
    <t>M0624</t>
  </si>
  <si>
    <t>12 CV</t>
  </si>
  <si>
    <t>Dầu hỏa (đồng/lít)</t>
  </si>
  <si>
    <t>Dầu DO (đồng/lít)</t>
  </si>
  <si>
    <t>Lưu ý:</t>
  </si>
  <si>
    <t>Nếu sử dụng đơn giá địa phương để lập dự toán, hãy chọn hệ số ở phần hướng dẫn chung trong cuốn đơn giá của từng tỉnh.</t>
  </si>
  <si>
    <t>BẢNG GIÁ CA MÁY VÀ THIẾT BỊ THI CÔNG XÂY DỰNG CÔNG TRÌNH</t>
  </si>
  <si>
    <t>TỈNH BÌNH THUẬN</t>
  </si>
  <si>
    <t>(Công bố kèm theo Quyết định số 1369/QĐ-UBND ngày 23 tháng 6 năm 2011 của Ủy Ban Nhân dân tỉnh Bình Thuận)</t>
  </si>
  <si>
    <t>Số ca năm
(ca/
năm)</t>
  </si>
  <si>
    <t>Máy đào một gầu bánh xích 0,22m3</t>
  </si>
  <si>
    <t>Máy đào một gầu bánh xích 0,3m3</t>
  </si>
  <si>
    <t>Máy đào một gầu bánh xích 0,4m3</t>
  </si>
  <si>
    <t>Máy đào một gầu bánh xích 0,5m3</t>
  </si>
  <si>
    <t>Máy đào một gầu bánh xích 0,65m3</t>
  </si>
  <si>
    <t>Máy đào một gầu bánh xích 1m3</t>
  </si>
  <si>
    <t>Máy đào một gầu bánh xích 1,2m3</t>
  </si>
  <si>
    <t>Máy đào một gầu bánh xích 1,25m3</t>
  </si>
  <si>
    <t>Máy đào một gầu bánh xích 1,6m3</t>
  </si>
  <si>
    <t>Máy đào một gầu bánh xích 2,0m3</t>
  </si>
  <si>
    <t>Máy đào một gầu bánh xích 2,5m3</t>
  </si>
  <si>
    <t>Máy đào một gầu bánh xích 3,5m3</t>
  </si>
  <si>
    <t>Máy đào một gầu bánh xích 3,6m3</t>
  </si>
  <si>
    <t>Máy đào một gầu bánh xích 5,4m3</t>
  </si>
  <si>
    <t>Máy đào một gầu bánh xích 6,5m3</t>
  </si>
  <si>
    <t>Máy đào một gầu bánh xích 9,5m3</t>
  </si>
  <si>
    <t>Máy đào một gầu bánh xích 10,4m3</t>
  </si>
  <si>
    <t>Máy đào một gầu, bánh xích, điện 2,5m3</t>
  </si>
  <si>
    <t>Máy đào một gầu, bánh xích, điện 4m3</t>
  </si>
  <si>
    <t>Máy đào một gầu, bánh xích, điện 4,6m3</t>
  </si>
  <si>
    <t>Máy đào một gầu, bánh xích, điện 5m3</t>
  </si>
  <si>
    <t>Máy đào một gầu, bánh xích, điện 8m3</t>
  </si>
  <si>
    <t>Máy đào một gầu bánh hơi 0,15m3</t>
  </si>
  <si>
    <t>Máy đào một gầu bánh hơi 0,3m3</t>
  </si>
  <si>
    <t>Máy đào một gầu bánh hơi 0,75m3</t>
  </si>
  <si>
    <t>Máy đào một gầu bánh hơi 1,25m3</t>
  </si>
  <si>
    <t>Máy đào gầu dây 1m3</t>
  </si>
  <si>
    <t>Máy đào gầu ngoạm 1,2m3</t>
  </si>
  <si>
    <t>Máy đào gầu ngoạm (gầu dây) 2,3m3</t>
  </si>
  <si>
    <t>Máy xúc lật 0,6m3</t>
  </si>
  <si>
    <t>Máy xúc lật 1,0m3</t>
  </si>
  <si>
    <t>Máy xúc lật 1,25m3</t>
  </si>
  <si>
    <t>Máy xúc lật 1,65m3</t>
  </si>
  <si>
    <t>Máy xúc lật 2,0m3</t>
  </si>
  <si>
    <t>Máy xúc lật 2,8m3</t>
  </si>
  <si>
    <t>Máy xúc lật 3,2m3</t>
  </si>
  <si>
    <t>Máy xúc lật 4,2m3</t>
  </si>
  <si>
    <t>Gầu đào (thi công móng cọc tường barrette)</t>
  </si>
  <si>
    <t>Máy xúc chuyên dùng trong hầm 0,9m3</t>
  </si>
  <si>
    <t>Máy xúc chuyên dùng trong hầm 1,65m3</t>
  </si>
  <si>
    <t>Máy xúc chuyên dùng trong hầm 4,2m3</t>
  </si>
  <si>
    <t>Máy cào đá</t>
  </si>
  <si>
    <t>Máy cào đá điện 3m3/ph</t>
  </si>
  <si>
    <t>Máy cào đá điện 8m3/ph</t>
  </si>
  <si>
    <t>Máy ủi 45CV</t>
  </si>
  <si>
    <t>Máy ủi 54CV</t>
  </si>
  <si>
    <t>Máy ủi 75CV</t>
  </si>
  <si>
    <t>Máy ủi 105CV</t>
  </si>
  <si>
    <t>Máy ủi 108CV</t>
  </si>
  <si>
    <t>Máy ủi 130CV</t>
  </si>
  <si>
    <t>Máy ủi 140CV</t>
  </si>
  <si>
    <t>Máy ủi 160CV</t>
  </si>
  <si>
    <t>Máy ủi 180CV</t>
  </si>
  <si>
    <t>Máy ủi 250CV</t>
  </si>
  <si>
    <t>Máy ủi 271CV</t>
  </si>
  <si>
    <t>Máy ủi 320CV</t>
  </si>
  <si>
    <t>Thùng cạp+đầu kéo bánh xích 3,00m3</t>
  </si>
  <si>
    <t>Thùng cạp+đầu kéo bánh xích 4,5m3</t>
  </si>
  <si>
    <t>Thùng cạp+đầu kéo bánh xích 5,0m3</t>
  </si>
  <si>
    <t>Thùng cạp+đầu kéo bánh xích 8,0m3</t>
  </si>
  <si>
    <t>Thùng cạp+đầu kéo bánh xích 9,0m3</t>
  </si>
  <si>
    <t>Máy cạp tự hành 9m3</t>
  </si>
  <si>
    <t>Máy cạp tự hành 10m3</t>
  </si>
  <si>
    <t>Máy cạp tự hành 16m3</t>
  </si>
  <si>
    <t>Máy cạp tự hành 25m3</t>
  </si>
  <si>
    <t>Máy san tự hành 54CV</t>
  </si>
  <si>
    <t>Máy san tự hành 90CV</t>
  </si>
  <si>
    <t>Máy san tự hành 108CV</t>
  </si>
  <si>
    <t>Máy san tự hành 180CV</t>
  </si>
  <si>
    <t>Máy san tự hành 250CV</t>
  </si>
  <si>
    <t>Máy đầm đất cầm tay 50kg</t>
  </si>
  <si>
    <t>Máy đầm đất cầm tay 60kg</t>
  </si>
  <si>
    <t>Máy đầm đất cầm tay 70kg</t>
  </si>
  <si>
    <t>Máy đầm đất cầm tay 80kg</t>
  </si>
  <si>
    <t>Máy kéo bánh xích đầm bánh hơi 9,0T</t>
  </si>
  <si>
    <t>Máy kéo bánh xích đầm bánh hơi 12,5T</t>
  </si>
  <si>
    <t>Máy kéo bánh xích đầm bánh hơi 18T</t>
  </si>
  <si>
    <t>Máy kéo bánh xích đầm bánh hơi 25T</t>
  </si>
  <si>
    <t>Máy kéo bánh xích đầm bánh hơi 26,5T</t>
  </si>
  <si>
    <t>Máy đầm bánh hơi tự hành 9T</t>
  </si>
  <si>
    <t>Máy lu bánh lốp 16T (đầm bánh hơi)</t>
  </si>
  <si>
    <t>Máy đầm bánh hơi tự hành 17,5T</t>
  </si>
  <si>
    <t>Máy đầm bánh hơi tự hành 25T</t>
  </si>
  <si>
    <t>Máy đầm rung tự hành 8T</t>
  </si>
  <si>
    <t>Máy đầm rung tự hành 15T</t>
  </si>
  <si>
    <t>Máy đầm rung tự hành 18T</t>
  </si>
  <si>
    <t>Máy đầm rung tự hành 25T</t>
  </si>
  <si>
    <t>Máy đầm chân cừu+đầu kéo 5,5T</t>
  </si>
  <si>
    <t>Máy đầm chân cừu+đầu kéo 9,0T</t>
  </si>
  <si>
    <t>Máy đầm bánh thép tự hành 8,5T</t>
  </si>
  <si>
    <t>Máy đầm bánh thép tự hành 10T</t>
  </si>
  <si>
    <t>Máy đầm bánh thép tự hành 12,2T</t>
  </si>
  <si>
    <t>Máy đầm bánh thép tự hành 13T</t>
  </si>
  <si>
    <t>Máy đầm bánh thép tự hành 14,5T</t>
  </si>
  <si>
    <t>Máy đầm bánh thép tự hành 15,5T</t>
  </si>
  <si>
    <t>Máy lu rung không tự hành (quả đầm 16T) 10T</t>
  </si>
  <si>
    <t>Ô tô thùng 2T</t>
  </si>
  <si>
    <t>Ô tô thùng 2,5T</t>
  </si>
  <si>
    <t>Ô tô thùng 4T</t>
  </si>
  <si>
    <t>Ô tô thùng 5T</t>
  </si>
  <si>
    <t>Ô tô thùng 6T</t>
  </si>
  <si>
    <t>Ô tô thùng 7T</t>
  </si>
  <si>
    <t>Ô tô thùng 10T</t>
  </si>
  <si>
    <t>Ô tô thùng 12T</t>
  </si>
  <si>
    <t>Ô tô thùng 12,5T</t>
  </si>
  <si>
    <t>Ô tô vận tải thùng 15T</t>
  </si>
  <si>
    <t>Ô tô thùng 20T</t>
  </si>
  <si>
    <t>Ô tô tự đổ 2,5T</t>
  </si>
  <si>
    <t>Ô tô tự đổ 3,5T</t>
  </si>
  <si>
    <t>Ô tô tự đổ 4T</t>
  </si>
  <si>
    <t>Ô tô tự đổ 5T</t>
  </si>
  <si>
    <t>Ô tô tự đổ 6T</t>
  </si>
  <si>
    <t>Ô tô tự đổ 7T</t>
  </si>
  <si>
    <t>Ô tô tự đổ 9T</t>
  </si>
  <si>
    <t>Ô tô tự đổ 10T</t>
  </si>
  <si>
    <t>Ô tô tự đổ 12T</t>
  </si>
  <si>
    <t>Ô tô tự đổ 15T</t>
  </si>
  <si>
    <t>Ô tô tự đổ 20T</t>
  </si>
  <si>
    <t>Ô tô tự đổ 22T</t>
  </si>
  <si>
    <t>Ô tô tự đổ 25T</t>
  </si>
  <si>
    <t>Ô tô tự đổ 27T</t>
  </si>
  <si>
    <t>Ô tô tự đổ 32T</t>
  </si>
  <si>
    <t>Ô tô tự đổ 36T</t>
  </si>
  <si>
    <t>Ô tô tự đổ 42T</t>
  </si>
  <si>
    <t>Ô tô tự đổ 55T</t>
  </si>
  <si>
    <t>Ô tô đầu kéo 150CV</t>
  </si>
  <si>
    <t>Ô tô đầu kéo 180CV</t>
  </si>
  <si>
    <t>Ô tô đầu kéo 200CV</t>
  </si>
  <si>
    <t>Ô tô đầu kéo 240CV</t>
  </si>
  <si>
    <t>Ô tô đầu kéo 255CV</t>
  </si>
  <si>
    <t>Ô tô đầu kéo 272CV</t>
  </si>
  <si>
    <t>Ô tô chuyển trộn 5m3</t>
  </si>
  <si>
    <t>Ô tô chuyển trộn bê tông 6m3</t>
  </si>
  <si>
    <t>Ô tô chuyển trộn 8m3</t>
  </si>
  <si>
    <t>Ô tô chuyển trộn 8,7m3</t>
  </si>
  <si>
    <t>Ô tô chuyển trộn bê tông 10,7m3</t>
  </si>
  <si>
    <t>Ô tô chuyển trộn bê tông 14,5m3</t>
  </si>
  <si>
    <t>Ô tô tưới nước 4m3</t>
  </si>
  <si>
    <t>Ô tô tưới nước 5m3</t>
  </si>
  <si>
    <t>Ô tô tưới nước 6m3</t>
  </si>
  <si>
    <t>Ô tô tưới nước 7m3</t>
  </si>
  <si>
    <t>Ô tô tưới nước 9m3</t>
  </si>
  <si>
    <t>Ô tô tưới nước 16m3</t>
  </si>
  <si>
    <t>Xe hút bùn 3T</t>
  </si>
  <si>
    <t>Xe hút mùn 3m3</t>
  </si>
  <si>
    <t>Xe ép rác 1,2T</t>
  </si>
  <si>
    <t>Xe ép rác trọng tải 1,5T</t>
  </si>
  <si>
    <t>Xe ép rác trọng tải 2T</t>
  </si>
  <si>
    <t>Xe ép rác loại 4T</t>
  </si>
  <si>
    <t>Xe ép rác loại 7T</t>
  </si>
  <si>
    <t>Xe ép rác trọng tải 10T</t>
  </si>
  <si>
    <t>Xe ô tô tải có gắn cần trục-trọng tải xe 5T</t>
  </si>
  <si>
    <t>Xe ô tô tải có gắn cần trục-trọng tải xe 6T</t>
  </si>
  <si>
    <t>Xe ô tô tải có gắn cần trục-trọng tải xe 7T</t>
  </si>
  <si>
    <t>Xe ô tô tải có gắn cần trục-trọng tải xe 10T</t>
  </si>
  <si>
    <t>Ô tô bán tải 1,5T</t>
  </si>
  <si>
    <t>Rơ mooc 2T</t>
  </si>
  <si>
    <t>Rơ mooc 7,5T</t>
  </si>
  <si>
    <t>Rơ mooc 14T</t>
  </si>
  <si>
    <t>Rơ mooc 40T</t>
  </si>
  <si>
    <t>Máy kéo bánh xích 45CV</t>
  </si>
  <si>
    <t>Máy kéo bánh xích 54CV</t>
  </si>
  <si>
    <t>Máy kéo bánh xích 75CV</t>
  </si>
  <si>
    <t>Máy kéo bánh xích 130CV</t>
  </si>
  <si>
    <t>Máy kéo bánh hơi 28CV</t>
  </si>
  <si>
    <t>Máy kéo bánh hơi 40CV</t>
  </si>
  <si>
    <t>Máy kéo bánh hơi 50CV</t>
  </si>
  <si>
    <t>Máy kéo bánh hơi 60CV</t>
  </si>
  <si>
    <t>Máy kéo bánh hơi 80CV</t>
  </si>
  <si>
    <t>Máy kéo bánh hơi 165CV</t>
  </si>
  <si>
    <t>Tời ma nơ 13kW</t>
  </si>
  <si>
    <t>Xe goòng 3T</t>
  </si>
  <si>
    <t>Quang lật 360T/h</t>
  </si>
  <si>
    <t>Cần trục máy kéo 5T</t>
  </si>
  <si>
    <t>Cần trục máy kéo 6T</t>
  </si>
  <si>
    <t>Cần trục máy kéo 7T</t>
  </si>
  <si>
    <t>Cần trục máy kéo 8T</t>
  </si>
  <si>
    <t>Cần trục TO-1,2-24 sức nâng 15T</t>
  </si>
  <si>
    <t>Tời kéo ống trên xe xích sức kéo 7,5T</t>
  </si>
  <si>
    <t>Cần trục ô tô 3T</t>
  </si>
  <si>
    <t>Cần trục ô tô 10T</t>
  </si>
  <si>
    <t>Cần trục ô tô 16T</t>
  </si>
  <si>
    <t>Cần trục ô tô 20T</t>
  </si>
  <si>
    <t>Cần trục ô tô 25T</t>
  </si>
  <si>
    <t>Cần trục ô tô 30T</t>
  </si>
  <si>
    <t>Cần trục ô tô 35T</t>
  </si>
  <si>
    <t>Cần trục ô tô 40T</t>
  </si>
  <si>
    <t>Cần trục ô tô 45T</t>
  </si>
  <si>
    <t>Cần trục ô tô 50T</t>
  </si>
  <si>
    <t>Cần trục bánh hơi 16T</t>
  </si>
  <si>
    <t>Cần trục bánh hơi 25T</t>
  </si>
  <si>
    <t>Cần trục bánh hơi 40T</t>
  </si>
  <si>
    <t>Cần trục bánh hơi 63T</t>
  </si>
  <si>
    <t>Cần trục bánh hơi 90T</t>
  </si>
  <si>
    <t>Cần trục bánh hơi 100T</t>
  </si>
  <si>
    <t>Cần trục bánh hơi 110T</t>
  </si>
  <si>
    <t>Cần trục bánh hơi 130T</t>
  </si>
  <si>
    <t>Cần trục bánh xích 5T</t>
  </si>
  <si>
    <t>Cần trục bánh xích 7T</t>
  </si>
  <si>
    <t>Cần trục bánh xích 16T</t>
  </si>
  <si>
    <t>Cần trục bánh xích 25T</t>
  </si>
  <si>
    <t>Cần trục bánh xích 28T</t>
  </si>
  <si>
    <t>Cần trục bánh xích 40T</t>
  </si>
  <si>
    <t>Cần trục bánh xích 50T</t>
  </si>
  <si>
    <t>Cần trục bánh xích 63T</t>
  </si>
  <si>
    <t>Cần trục bánh xích 100T</t>
  </si>
  <si>
    <t>Cần trục bánh xích 130T</t>
  </si>
  <si>
    <t>Cần trục bánh xích 150T</t>
  </si>
  <si>
    <t>Cần trục tháp 3T</t>
  </si>
  <si>
    <t>Cần trục tháp 5T</t>
  </si>
  <si>
    <t>Cần trục tháp 8T</t>
  </si>
  <si>
    <t>Cần trục tháp 10T</t>
  </si>
  <si>
    <t>Cần trục tháp 12T</t>
  </si>
  <si>
    <t>Cần trục tháp 15T</t>
  </si>
  <si>
    <t>Cần trục tháp 20T</t>
  </si>
  <si>
    <t>Cần trục tháp 30T</t>
  </si>
  <si>
    <t>Cần trục tháp 40T</t>
  </si>
  <si>
    <t>Cần trục tháp 60T</t>
  </si>
  <si>
    <t>Cẩu tháp MD900</t>
  </si>
  <si>
    <t>Cần cẩu nổi 30T</t>
  </si>
  <si>
    <t>Cần cẩu nổi tự hành 100T</t>
  </si>
  <si>
    <t>Cẩu lao dầm K33-60</t>
  </si>
  <si>
    <t>Cổng trục 10T</t>
  </si>
  <si>
    <t>Cổng trục 25T</t>
  </si>
  <si>
    <t>Cổng trục 30T</t>
  </si>
  <si>
    <t>Cổng trục 60T</t>
  </si>
  <si>
    <t>Cầu trục 30T</t>
  </si>
  <si>
    <t>Cầu trục 40T</t>
  </si>
  <si>
    <t>Cầu trục 50T</t>
  </si>
  <si>
    <t>Cầu trục 60T</t>
  </si>
  <si>
    <t>Cầu trục 90T</t>
  </si>
  <si>
    <t>Cầu trục 110T</t>
  </si>
  <si>
    <t>Cầu trục 125T</t>
  </si>
  <si>
    <t>Cầu trục 180T</t>
  </si>
  <si>
    <t>Cầu trục 250T</t>
  </si>
  <si>
    <t>Vận thăng 0,3T</t>
  </si>
  <si>
    <t>Vận thăng 0,5T</t>
  </si>
  <si>
    <t>Vận thăng 0,8T</t>
  </si>
  <si>
    <t>Vận thăng 2T</t>
  </si>
  <si>
    <t>Máy vận thăng lồng 3T nâng 100m</t>
  </si>
  <si>
    <t>Cần trục thiếu nhi 0,5T</t>
  </si>
  <si>
    <t>Tời điện 0,5T</t>
  </si>
  <si>
    <t>Tời điện 1T</t>
  </si>
  <si>
    <t>Tời điện 1,5T</t>
  </si>
  <si>
    <t>Tời điện 2T</t>
  </si>
  <si>
    <t>Tời điện 2,5T</t>
  </si>
  <si>
    <t>Tời điện 3T</t>
  </si>
  <si>
    <t>Tời điện 3,5T</t>
  </si>
  <si>
    <t>Tời điện 4T</t>
  </si>
  <si>
    <t>Tời điện 5T</t>
  </si>
  <si>
    <t>Pa lăng xích 3T</t>
  </si>
  <si>
    <t>Pa lăng xích 5T</t>
  </si>
  <si>
    <t>Bộ kích 10T</t>
  </si>
  <si>
    <t>6. Xe tải, xe cẩu từ 40 tấn trở lên</t>
  </si>
  <si>
    <t>B.2. BẢNG LƯƠNG THUYỀN VIÊN VÀ CÔNG NHÂN VIÊN TÀU VẬN TẢI BIỂN, VẬN TẢI SÔNG, TÀU DỊCH VỤ DẦU KHÍ,</t>
  </si>
  <si>
    <t>TÀU CẨU DẦU KHÍ</t>
  </si>
  <si>
    <t>I/ Tàu vận tải biển, vận tải sông</t>
  </si>
  <si>
    <t xml:space="preserve">1/ Tàu vận tải biển, vận tải sông không theo nhóm tàu  </t>
  </si>
  <si>
    <t>Chức danh không theo nhóm tàu</t>
  </si>
  <si>
    <t>I/ Tàu vận tải biển</t>
  </si>
  <si>
    <t>1. Thuỷ thủ</t>
  </si>
  <si>
    <t>2. Thợ máy kiêm cơ khí, thợ bơm</t>
  </si>
  <si>
    <t>3. Thợ máy, điện, vô tuyến điện</t>
  </si>
  <si>
    <t>4. Phục vụ viên</t>
  </si>
  <si>
    <t>5. Cấp dưỡng</t>
  </si>
  <si>
    <t>II/ Tàu vận tải sông và sang ngang</t>
  </si>
  <si>
    <t>Nhóm I (vận tải dọc sông)</t>
  </si>
  <si>
    <t>Nhóm II (vận tải sang ngang)</t>
  </si>
  <si>
    <t>2. Thợ máy, thợ điện</t>
  </si>
  <si>
    <t>3. Phục vụ viên</t>
  </si>
  <si>
    <t>M0254</t>
  </si>
  <si>
    <t>60T</t>
  </si>
  <si>
    <t xml:space="preserve">Cầu trục - sức nâng: </t>
  </si>
  <si>
    <t>M0255</t>
  </si>
  <si>
    <t>30 T</t>
  </si>
  <si>
    <t xml:space="preserve"> </t>
  </si>
  <si>
    <t>1. Thợ lặn</t>
  </si>
  <si>
    <t>2. Thợ lặn cấp I</t>
  </si>
  <si>
    <t>3. Thợ lặn cấp III</t>
  </si>
  <si>
    <t>Tàu hút từ 150m3/h đến 300m3/h</t>
  </si>
  <si>
    <t>Tàu hút trên 300m3/h, tàu cuốc dưới 300m3/h</t>
  </si>
  <si>
    <t>ĐỊNH MỨC KHẤU HAO, SỬA CHỮA, CHI PHÍ KHÁC NĂM, NHIÊN LIỆU, TIỀN LƯƠNG</t>
  </si>
  <si>
    <t>MORONG</t>
  </si>
  <si>
    <t>Mở rộng</t>
  </si>
  <si>
    <t>Bảng tính bù giá ca máy</t>
  </si>
  <si>
    <t>Bu GCM</t>
  </si>
  <si>
    <t xml:space="preserve"> - Kiểm soát viên từ phao số 0 vào cảng toàn tuyến xếp như Kiểm soát viên không lưu cấp III.</t>
  </si>
  <si>
    <t xml:space="preserve"> - Kiểm soát viên quản lý vận hành luồng tàu xếp như Kiểm soát viên không lưu cấp II.</t>
  </si>
  <si>
    <t xml:space="preserve"> - Kiểm soát viên quản lý vận hành khu vực luồng tàu xếp như Kiểm soát viên không lưu cấp I.</t>
  </si>
  <si>
    <t>B.2. BẢNG LƯƠNG THUYỀN VIÊN VÀ CÔNG NHÂN VIÊN TÀU VẬN TẢI BIỂN, VẬN TẢI SÔNG, TÀU DỊCH VỤ DẦU KHÍ, TÀU</t>
  </si>
  <si>
    <t>CẨU DẦU KHÍ (TIẾP THEO)</t>
  </si>
  <si>
    <t>3/ Tàu vận tải sông theo nhóm tàu</t>
  </si>
  <si>
    <t>Chức danh theo nhóm tàu</t>
  </si>
  <si>
    <t>1. Thuyền trưởng</t>
  </si>
  <si>
    <t>Nhóm IV</t>
  </si>
  <si>
    <t>2. Đại phó, máy trưởng</t>
  </si>
  <si>
    <t>3. Thuyền phó 2, máy 2</t>
  </si>
  <si>
    <t>đến 15 mã lực hoặc sức chở từ 5 người đến 12 người.</t>
  </si>
  <si>
    <t>phương tiện có tổng công suất máy chính từ trên 15 mã lực đến 150  mã lực.</t>
  </si>
  <si>
    <t>toàn phần trên 150 tấn đến 500 tấn; đoàn lai có trọng tải toàn phần trên 400 tấn đến đồng tấn; phương tiện</t>
  </si>
  <si>
    <t>đoàn lai có trọng tải toàn phần trên đồng tấn; phương tiện có tổng công suất máy chính trên 400  mã lực.</t>
  </si>
  <si>
    <t>B.5. BẢNG LƯƠNG THUYỀN VIÊN VÀ CÔNG NHÂN VIÊN TÀU CÔNG TRÌNH, TÀU TRỤC VỚT VÀ CỨU HỘ, TÀU THAY THẢ</t>
  </si>
  <si>
    <t>PHAO, TÀU TÌM KIẾM CỨU NẠN HÀNG HẢI (TIẾP THEO)</t>
  </si>
  <si>
    <t>I/ Tàu công trình</t>
  </si>
  <si>
    <t>2/ Tàu nạo vét sông</t>
  </si>
  <si>
    <t>Tàu hút dưới 150m3/h</t>
  </si>
  <si>
    <t>2. Máy trưởng</t>
  </si>
  <si>
    <t>3. Điện trưởng</t>
  </si>
  <si>
    <t>Tàu hút trên 300m3/h. Tàu cuốc dưới 300m3/h</t>
  </si>
  <si>
    <t>4. Máy 2, kỹ thuật viên cuốc 1</t>
  </si>
  <si>
    <t>5. Máy 3, kỹ thuật viên cuốc 2</t>
  </si>
  <si>
    <t>6. Máy 4, kỹ thuật viên cuốc 3</t>
  </si>
  <si>
    <t>7. Quản trị trưởng, thuỷ thủ trưởng</t>
  </si>
  <si>
    <t>1. Thợ máy, điện, điện báo</t>
  </si>
  <si>
    <t>2. Thuỷ thủ</t>
  </si>
  <si>
    <t>4. Cấp dưỡng</t>
  </si>
  <si>
    <t>B.5. Bảng lương thuyền viên và Công nhân viên tàu công trình, tàu trục vớt và cứu hộ, tàu thay thả</t>
  </si>
  <si>
    <t>phao, tàu tìm kiếm cứu nạn hàng hải</t>
  </si>
  <si>
    <t xml:space="preserve">1/ Tàu nạo vét biển     </t>
  </si>
  <si>
    <t>1. Thuyền trưởng tàu hút bụng</t>
  </si>
  <si>
    <t>Tàu hút. tàu cuốc từ 300m3/h đến dưới 800m3/h</t>
  </si>
  <si>
    <t>Tàu hút. tàu cuốc từ 800m3/h trở lên</t>
  </si>
  <si>
    <t>2. Máy trưởng, thuyền trưởng tàu cuốc, tàu hút phun, tàu NV bằng gầu ngoạm</t>
  </si>
  <si>
    <t>1. Thợ máy kiêm cơ khí</t>
  </si>
  <si>
    <t>2. Thợ máy, điện, điện báo</t>
  </si>
  <si>
    <t>3. Thuỷ thủ, thợ cuốc</t>
  </si>
  <si>
    <t xml:space="preserve">Chức vụ </t>
  </si>
  <si>
    <t xml:space="preserve">Số lượng </t>
  </si>
  <si>
    <t>Đồng/ngày</t>
  </si>
  <si>
    <t>Thành tiền</t>
  </si>
  <si>
    <t>Cần cẩu nổi, kéo theo - sức nâng: 30T</t>
  </si>
  <si>
    <t>Thuyền phó 2 1/2</t>
  </si>
  <si>
    <t>Thợ máy 2/4</t>
  </si>
  <si>
    <t>Thợ máy 3/4</t>
  </si>
  <si>
    <t>Thợ điện 2/4</t>
  </si>
  <si>
    <t>Thủy thủ 2/4</t>
  </si>
  <si>
    <t>Cần cẩu nổi, tự hành - sức nâng: 100T</t>
  </si>
  <si>
    <t>Thuyền trưởng 1/2</t>
  </si>
  <si>
    <t>Thuyền phó 1/2</t>
  </si>
  <si>
    <t>Thợ máy 4/4</t>
  </si>
  <si>
    <t>Thợ điện3/4</t>
  </si>
  <si>
    <t>Tàu đóng cọc C 96-búa thuỷ lực, trọng lượng đầu búa: 7,5 tấn</t>
  </si>
  <si>
    <t>Thuyền trưởng1/2</t>
  </si>
  <si>
    <t xml:space="preserve">Thợ máy 4/4 </t>
  </si>
  <si>
    <t>Thợ điện 3/4</t>
  </si>
  <si>
    <t>Tầu kéo và phục vụ thi công thuỷ (làm neo, cấp dầu,...) - công suất: 75CV</t>
  </si>
  <si>
    <t>Tầu kéo và phục vụ thi công thuỷ (làm neo, cấp dầu,...) - công suất: 150CV</t>
  </si>
  <si>
    <t>Thuyền trưởng 2/2</t>
  </si>
  <si>
    <t>Thuyền phó I 1/2</t>
  </si>
  <si>
    <t>Máy trưởng I 1/2</t>
  </si>
  <si>
    <t>Thủy thủ 3/4</t>
  </si>
  <si>
    <t>Tầu kéo và phục vụ thi công thuỷ (làm neo, cấp dầu,...) - công suất: 360CV</t>
  </si>
  <si>
    <t>Tầu kéo và phục vụ thi công thuỷ (làm neo, cấp dầu,...) - công suất: 600CCV</t>
  </si>
  <si>
    <t xml:space="preserve">Thuyền phó I 2/2 </t>
  </si>
  <si>
    <t>Máy trưởng I 2/2</t>
  </si>
  <si>
    <t>Thủy thủ 4/4</t>
  </si>
  <si>
    <t>Tầu kéo và phục vụ thi công thuỷ (làm neo, cấp dầu,...) - công suất: 1200CCV</t>
  </si>
  <si>
    <t xml:space="preserve">Thuyền trưởng 2/2 </t>
  </si>
  <si>
    <t xml:space="preserve">Thợ máy 3/4 </t>
  </si>
  <si>
    <t>Tàu cuốc sông- công suất: 495 CV</t>
  </si>
  <si>
    <t>Thuyền phó 2/2</t>
  </si>
  <si>
    <t>Máy trưởng 2/2</t>
  </si>
  <si>
    <t xml:space="preserve">Máy II 2/2 </t>
  </si>
  <si>
    <t>Thợ điện trưởng 2/2</t>
  </si>
  <si>
    <t>Kỹ thuật viên cuốc I 2/2</t>
  </si>
  <si>
    <t>Kỹ thuật viên cuốc II 2/2</t>
  </si>
  <si>
    <t>Tàu cuốc biển - công suất: 2085CV</t>
  </si>
  <si>
    <t>Điện trưởng 2/2</t>
  </si>
  <si>
    <t xml:space="preserve">Tàu hút bùn- công suất: 150 CV </t>
  </si>
  <si>
    <t xml:space="preserve">Tàu hút bùn- công suất: 300 CV </t>
  </si>
  <si>
    <t xml:space="preserve">Thuyền phó 1/2 </t>
  </si>
  <si>
    <t xml:space="preserve">Tàu hút bùn- công suất: 585CV </t>
  </si>
  <si>
    <t xml:space="preserve">Thủy thủ 3/4 </t>
  </si>
  <si>
    <t xml:space="preserve">Tàu hút bùn- công suất: 900CV </t>
  </si>
  <si>
    <t xml:space="preserve">Tàu hút bùn- công suất: 1200CV </t>
  </si>
  <si>
    <t xml:space="preserve">Tàu hút bùn- công suất: 4170CV </t>
  </si>
  <si>
    <t>Tàu hút bụng tự hành - công suất: 1390CV</t>
  </si>
  <si>
    <t>Tàu hút bụng tự hành - công suất: 5945CV</t>
  </si>
  <si>
    <t>Tầu ngoạm (có tính năng phá đá ngầm), công suất 3170 CV - dung tích gầu: 17m3</t>
  </si>
  <si>
    <t>Búa đóng cọc nổi (cả xà lan và máy phụ trợ) - trọng lượng búa: &lt;=1,8T</t>
  </si>
  <si>
    <t>Thuyền phó II 1/2</t>
  </si>
  <si>
    <t>Búa đóng cọc nổi (cả xà lan và máy phụ trợ) - trọng lượng búa: &lt;=2.5T</t>
  </si>
  <si>
    <t>Búa đóng cọc nổi (cả xà lan và máy phụ trợ) - trọng lượng búa: &lt;=3.5T</t>
  </si>
  <si>
    <t>Tàu công tác sông - công suất: 90CV</t>
  </si>
  <si>
    <t>Máy I 1/2</t>
  </si>
  <si>
    <t>Tàu công tác sông - công suất: 150CV</t>
  </si>
  <si>
    <t>Tàu công tác sông - công suất: 190CV</t>
  </si>
  <si>
    <r>
      <t>Nhóm I:</t>
    </r>
    <r>
      <rPr>
        <sz val="12"/>
        <rFont val="Times New Roman"/>
        <family val="1"/>
      </rPr>
      <t xml:space="preserve"> Phương tiện không có động cơ có trọng tải toàn phần từ 5 tấn đến 15 tấn; phương tiện có trọng tải động cơ có công suất máy chính từ 5 mã lực</t>
    </r>
  </si>
  <si>
    <r>
      <t>Nhóm II:</t>
    </r>
    <r>
      <rPr>
        <sz val="12"/>
        <rFont val="Times New Roman"/>
        <family val="1"/>
      </rPr>
      <t xml:space="preserve"> Tàu khách có sức chở từ trên 12 người đến 50 người; phà có trọng tải toàn phần đến 50 tấn; đoàn lai có trọng tải toàn phần đến 400 tấn;</t>
    </r>
  </si>
  <si>
    <r>
      <t>Nhóm III:</t>
    </r>
    <r>
      <rPr>
        <sz val="12"/>
        <rFont val="Times New Roman"/>
        <family val="1"/>
      </rPr>
      <t xml:space="preserve"> Tàu khách có sức chở từ trên 50 người đến 100 người; phà có trọng tải toàn phần trên 50 tấn đến 150 tấn; phương tiện chở hàng có trọng tải</t>
    </r>
  </si>
  <si>
    <r>
      <t>Nhóm IV:</t>
    </r>
    <r>
      <rPr>
        <sz val="12"/>
        <rFont val="Times New Roman"/>
        <family val="1"/>
      </rPr>
      <t xml:space="preserve"> Tàu khách có sức chở trên 100 người; phà có trọng tải toàn phần trên 150 tấn; phương tiện chở hàng có trọng tải toàn phần trên 500 tấn;</t>
    </r>
  </si>
  <si>
    <t>M0256</t>
  </si>
  <si>
    <t>40 T</t>
  </si>
  <si>
    <t>M0257</t>
  </si>
  <si>
    <t>50 T</t>
  </si>
  <si>
    <t>M0258</t>
  </si>
  <si>
    <t>60 T</t>
  </si>
  <si>
    <t>M0259</t>
  </si>
  <si>
    <t>90 T</t>
  </si>
  <si>
    <t>M0260</t>
  </si>
  <si>
    <t>110 T</t>
  </si>
  <si>
    <t>M0261</t>
  </si>
  <si>
    <t>125 T</t>
  </si>
  <si>
    <t>M0262</t>
  </si>
  <si>
    <t>180 T</t>
  </si>
  <si>
    <t>M0263</t>
  </si>
  <si>
    <t>250 T</t>
  </si>
  <si>
    <t>Máy vận thăng - sức nâng:</t>
  </si>
  <si>
    <t>M0264</t>
  </si>
  <si>
    <t>0,3 T - H nâng 30 m</t>
  </si>
  <si>
    <t>M0265</t>
  </si>
  <si>
    <t>0,5 T - H nâng 50 m</t>
  </si>
  <si>
    <t>M0266</t>
  </si>
  <si>
    <t>0,8 T - H nâng 80 m</t>
  </si>
  <si>
    <t>M0267</t>
  </si>
  <si>
    <t>2,0 T - H nâng 100 m</t>
  </si>
  <si>
    <t>M0268</t>
  </si>
  <si>
    <t>3,0 T - H nâng 100 m</t>
  </si>
  <si>
    <t>Máy vận thăng lồng - sức nâng:</t>
  </si>
  <si>
    <t>M0269</t>
  </si>
  <si>
    <t>Cần trục thiếu nhi - sức nâng:</t>
  </si>
  <si>
    <t>M0270</t>
  </si>
  <si>
    <t>0,5 T</t>
  </si>
  <si>
    <t>Tời điện - sức kéo:</t>
  </si>
  <si>
    <t>M0271</t>
  </si>
  <si>
    <t>M0272</t>
  </si>
  <si>
    <t>M0273</t>
  </si>
  <si>
    <t>M0274</t>
  </si>
  <si>
    <t>M0275</t>
  </si>
  <si>
    <t>2,5 T</t>
  </si>
  <si>
    <t>M0276</t>
  </si>
  <si>
    <t>M0277</t>
  </si>
  <si>
    <t>3,5 T</t>
  </si>
  <si>
    <t>M0278</t>
  </si>
  <si>
    <t>M0279</t>
  </si>
  <si>
    <t>Pa lăng xích - sức nâng:</t>
  </si>
  <si>
    <t>M0280</t>
  </si>
  <si>
    <t>M0281</t>
  </si>
  <si>
    <t>Bộ kích chuyên dùng</t>
  </si>
  <si>
    <t>M0282</t>
  </si>
  <si>
    <t>Bộ thiết bị trượt (60 kích loại 6T)</t>
  </si>
  <si>
    <t>2x4/7+1x5/7+1x7/7</t>
  </si>
  <si>
    <t>M0283</t>
  </si>
  <si>
    <t>Bộ kích lắp dựng, tháo dỡ ván khuôn 50 T - 60 T</t>
  </si>
  <si>
    <t>2x4/7</t>
  </si>
  <si>
    <t>Kích nâng - sức nâng (T):</t>
  </si>
  <si>
    <t>M0284</t>
  </si>
  <si>
    <t>Bậc hàng</t>
  </si>
  <si>
    <t>Hệ số</t>
  </si>
  <si>
    <t>VAT</t>
  </si>
  <si>
    <t>Phân tích vữa trong bảng GCT</t>
  </si>
  <si>
    <t>Phân tích vữa theo mã hiện có</t>
  </si>
  <si>
    <t>Phân tích đơn giá khảo sát</t>
  </si>
  <si>
    <t>Số ký tự làm tròn ĐG dự thầu sau thuế (sheet GDT)</t>
  </si>
  <si>
    <t>Công trình dân dụng</t>
  </si>
  <si>
    <t>Công trình công nghiệp</t>
  </si>
  <si>
    <t>Công trình giao thông</t>
  </si>
  <si>
    <t>Công trình hạ tầng kỹ thuật</t>
  </si>
  <si>
    <t>Công trình thủy lợi</t>
  </si>
  <si>
    <t>4x3/7+4x4/7+3x5/7+1x6/7</t>
  </si>
  <si>
    <t>M0368</t>
  </si>
  <si>
    <t>30,0 T/h (156 m3/ca)</t>
  </si>
  <si>
    <t>1.326
 234
 234</t>
  </si>
  <si>
    <t>M0369</t>
  </si>
  <si>
    <t>40,0 T/h (176 m3/ca)</t>
  </si>
  <si>
    <t>1.496
 264
 264</t>
  </si>
  <si>
    <t>5x3/7+5x4/7+4x5/7+1x6/7</t>
  </si>
  <si>
    <t>M0370</t>
  </si>
  <si>
    <t>50,0 T/h (200 (m3/ca)</t>
  </si>
  <si>
    <t>1.700
 300
 300</t>
  </si>
  <si>
    <t>M0371</t>
  </si>
  <si>
    <t>60,0 T/h (216 m3/ca)</t>
  </si>
  <si>
    <t>1.836
 324
 324</t>
  </si>
  <si>
    <t>M0372</t>
  </si>
  <si>
    <t>80,0 T/h (256 m3/ca)</t>
  </si>
  <si>
    <t>2.176
 384
 384</t>
  </si>
  <si>
    <t>Máy phun nhựa đường - công suất:</t>
  </si>
  <si>
    <t>M0373</t>
  </si>
  <si>
    <t>190 CV</t>
  </si>
  <si>
    <t>1x1/4 +1x3/4 Loại  7,5 -16,5 Tấn</t>
  </si>
  <si>
    <t>Máy rải hỗn hợp bê tông nhựa - năng suất:</t>
  </si>
  <si>
    <t>M0374</t>
  </si>
  <si>
    <t>65,0 T/h</t>
  </si>
  <si>
    <t>M0375</t>
  </si>
  <si>
    <t>100,0 T/h</t>
  </si>
  <si>
    <t>M0376</t>
  </si>
  <si>
    <t>130 CV đến 140 CV</t>
  </si>
  <si>
    <t>Máy rải cấp phối đá dăm - năng suất:</t>
  </si>
  <si>
    <t>M0377</t>
  </si>
  <si>
    <t>60 m3/h</t>
  </si>
  <si>
    <t>M0378</t>
  </si>
  <si>
    <t xml:space="preserve">Máy cào bóc đường Wirtgen - 1000C </t>
  </si>
  <si>
    <t>M0379</t>
  </si>
  <si>
    <t xml:space="preserve">Thiết bị sơn kẻ vạch YHK 10A </t>
  </si>
  <si>
    <t>M0380</t>
  </si>
  <si>
    <t>Lò nấu sơn YHK 3A</t>
  </si>
  <si>
    <t>M0381</t>
  </si>
  <si>
    <t>Thiết bị đun rót mastic</t>
  </si>
  <si>
    <t>M0382</t>
  </si>
  <si>
    <t>Nồi nấu nhựa 500 lít</t>
  </si>
  <si>
    <t>Máy bơm nước, động cơ điện - công suất:</t>
  </si>
  <si>
    <t>M0383</t>
  </si>
  <si>
    <t>0,46 kW (b48)</t>
  </si>
  <si>
    <t>M0384</t>
  </si>
  <si>
    <t>0,55 kW</t>
  </si>
  <si>
    <t>M0385</t>
  </si>
  <si>
    <t>0,75 kW</t>
  </si>
  <si>
    <t>M0386</t>
  </si>
  <si>
    <t>1,10 kW</t>
  </si>
  <si>
    <t>M0387</t>
  </si>
  <si>
    <t>1,50 kW</t>
  </si>
  <si>
    <t>M0388</t>
  </si>
  <si>
    <t>2,00 kW</t>
  </si>
  <si>
    <t>M0389</t>
  </si>
  <si>
    <t>2,80 kW</t>
  </si>
  <si>
    <t>M0390</t>
  </si>
  <si>
    <t>4,00 kW</t>
  </si>
  <si>
    <t>M0391</t>
  </si>
  <si>
    <t>4,50 kW</t>
  </si>
  <si>
    <t>M0392</t>
  </si>
  <si>
    <t>7,00 kW</t>
  </si>
  <si>
    <t>M0393</t>
  </si>
  <si>
    <t>10,00 kW</t>
  </si>
  <si>
    <t>M0394</t>
  </si>
  <si>
    <t>14,00 kW</t>
  </si>
  <si>
    <t>M0395</t>
  </si>
  <si>
    <t>20,00 kW</t>
  </si>
  <si>
    <t>M0396</t>
  </si>
  <si>
    <t>22,00 kW</t>
  </si>
  <si>
    <t>M0397</t>
  </si>
  <si>
    <t>28,00 kW</t>
  </si>
  <si>
    <t>M0398</t>
  </si>
  <si>
    <t>30,00 kW</t>
  </si>
  <si>
    <t>M0399</t>
  </si>
  <si>
    <t>40,00 kW</t>
  </si>
  <si>
    <t>M0400</t>
  </si>
  <si>
    <t>50,00 kW</t>
  </si>
  <si>
    <t>M0401</t>
  </si>
  <si>
    <t>55,00 kW</t>
  </si>
  <si>
    <t>M0402</t>
  </si>
  <si>
    <t>75,00 kW</t>
  </si>
  <si>
    <t>M0403</t>
  </si>
  <si>
    <t xml:space="preserve"> Máy bơm xói 4MC (75 kW)</t>
  </si>
  <si>
    <t>M0404</t>
  </si>
  <si>
    <t>113,00 kW</t>
  </si>
  <si>
    <t>Máy bơm nước, động cơ diezel - công suất:</t>
  </si>
  <si>
    <t>M0405</t>
  </si>
  <si>
    <t>5,0 CV</t>
  </si>
  <si>
    <t>M0406</t>
  </si>
  <si>
    <t>5,5 CV</t>
  </si>
  <si>
    <t>M0407</t>
  </si>
  <si>
    <t>7,0 CV</t>
  </si>
  <si>
    <t>M0408</t>
  </si>
  <si>
    <t>7,5 CV</t>
  </si>
  <si>
    <t>M0409</t>
  </si>
  <si>
    <t>10,0 CV</t>
  </si>
  <si>
    <t>M0410</t>
  </si>
  <si>
    <t>15,0 CV</t>
  </si>
  <si>
    <t>M0411</t>
  </si>
  <si>
    <t>20,0 CV</t>
  </si>
  <si>
    <t>M0412</t>
  </si>
  <si>
    <t>25 CV (250/50, b100)</t>
  </si>
  <si>
    <t>M0413</t>
  </si>
  <si>
    <t>37,0 CV</t>
  </si>
  <si>
    <t>M0414</t>
  </si>
  <si>
    <t>45,0 CV</t>
  </si>
  <si>
    <t>M0415</t>
  </si>
  <si>
    <t>75,0 CV</t>
  </si>
  <si>
    <t>M0416</t>
  </si>
  <si>
    <t>100,0 CV</t>
  </si>
  <si>
    <t>M0417</t>
  </si>
  <si>
    <t>150,0 CV</t>
  </si>
  <si>
    <t>M0418</t>
  </si>
  <si>
    <t xml:space="preserve"> Máy bơm áp lực xói nước đầu cọc (300 CV)</t>
  </si>
  <si>
    <t>Máy bơm nước, động cơ xăng - công suất:</t>
  </si>
  <si>
    <t>M0419</t>
  </si>
  <si>
    <t>3,0 CV</t>
  </si>
  <si>
    <t>M0420</t>
  </si>
  <si>
    <t>4,0 CV</t>
  </si>
  <si>
    <t>M0421</t>
  </si>
  <si>
    <t>6,0 CV</t>
  </si>
  <si>
    <t>M0422</t>
  </si>
  <si>
    <t>M0423</t>
  </si>
  <si>
    <t>8,0 CV</t>
  </si>
  <si>
    <t>Máy bơm rửa đường ống - công suất:</t>
  </si>
  <si>
    <t>M0424</t>
  </si>
  <si>
    <t xml:space="preserve">300 CV (AH-151) </t>
  </si>
  <si>
    <t>2x4/7+1x5/7</t>
  </si>
  <si>
    <t>M0425</t>
  </si>
  <si>
    <t>280 CV (A-206)</t>
  </si>
  <si>
    <t>M0426</t>
  </si>
  <si>
    <t>90 CV (AH-2)</t>
  </si>
  <si>
    <t>Máy nén thử đường ống - công suất:</t>
  </si>
  <si>
    <t>M0427</t>
  </si>
  <si>
    <t>170 Cv (lắp trên xe ZIL - 130)</t>
  </si>
  <si>
    <t>M0428</t>
  </si>
  <si>
    <t>75 CV (AHO-201)</t>
  </si>
  <si>
    <t>2x4/7+1x2/4 Loại 3,5 - 7,5 Tấn</t>
  </si>
  <si>
    <t>Máy kiểm tra mối hàn đường ống:</t>
  </si>
  <si>
    <t>M0429</t>
  </si>
  <si>
    <t>Máy hút chân không thử đường hàn</t>
  </si>
  <si>
    <t>M0430</t>
  </si>
  <si>
    <t>Máy siêu âm kiểm tra mối hàn đường ống</t>
  </si>
  <si>
    <t>M0431</t>
  </si>
  <si>
    <t>Vi kế đo áp lực đường ống</t>
  </si>
  <si>
    <t xml:space="preserve">Máy phát điện lưu động - công suất: </t>
  </si>
  <si>
    <t>M0432</t>
  </si>
  <si>
    <t>Máy phát điện 2,5-3kw</t>
  </si>
  <si>
    <t>lít Diezel</t>
  </si>
  <si>
    <t>M0433</t>
  </si>
  <si>
    <t>5,2 kW</t>
  </si>
  <si>
    <t>M0434</t>
  </si>
  <si>
    <t>8,0 kW</t>
  </si>
  <si>
    <t>M0435</t>
  </si>
  <si>
    <t>M0436</t>
  </si>
  <si>
    <t>15,0 kW</t>
  </si>
  <si>
    <t>M0437</t>
  </si>
  <si>
    <t>I. THÔNG TIN CHUNG</t>
  </si>
  <si>
    <t>Hạng mục:</t>
  </si>
  <si>
    <t>Chủ đầu tư:</t>
  </si>
  <si>
    <t>III. CHẾ ĐỘ TIỀN LƯƠNG</t>
  </si>
  <si>
    <t>Hệ số vật liệu</t>
  </si>
  <si>
    <t>Hệ số nhân công</t>
  </si>
  <si>
    <t>Hệ số máy xây dựng</t>
  </si>
  <si>
    <t>Chi phí khảo sát</t>
  </si>
  <si>
    <t>Tìm ở văn bản nào?</t>
  </si>
  <si>
    <t>Xăng (đồng/lít)</t>
  </si>
  <si>
    <t>Dầu Diezel (đồng/lít)</t>
  </si>
  <si>
    <t>Điện (đồng/kw)</t>
  </si>
  <si>
    <t>IV. GIÁ NHIÊN LIỆU, NĂNG LƯỢNG (TRƯỚC VAT)</t>
  </si>
  <si>
    <t>Sau khi nhập xong các thông tin ban đầu thì chuyển sang sheet Dutoan để tiếp tục</t>
  </si>
  <si>
    <t>LOẠI CÔNG TRÌNH</t>
  </si>
  <si>
    <t>BẢNG 3.7. ĐỊNH MỨC CHI PHÍ TRỰC TIẾP KHÁC</t>
  </si>
  <si>
    <t>BẢNG 3.8. ĐỊNH MỨC CHI PHÍ CHUNG, THU NHẬP CHỊU THUẾ TÍNH TRƯỚC</t>
  </si>
  <si>
    <t>TRÊN CPTT</t>
  </si>
  <si>
    <t>Công tác lắp đặt thiết bị công nghệ trong các công trình xây dựng, công tác xây lắp đường dây, công tác thí nghiệm hiệu chỉnh điện đường dây và trạm biến áp, công tác thí nghiệm vật liệu, cấu kiện và kết cấu xây dựng</t>
  </si>
  <si>
    <r>
      <t>Thuế suất thuế giá trị gia tăng (T</t>
    </r>
    <r>
      <rPr>
        <vertAlign val="superscript"/>
        <sz val="12"/>
        <rFont val="Times New Roman"/>
        <family val="1"/>
      </rPr>
      <t>GTGT-XD</t>
    </r>
    <r>
      <rPr>
        <sz val="12"/>
        <rFont val="Times New Roman"/>
        <family val="1"/>
      </rPr>
      <t>)</t>
    </r>
  </si>
  <si>
    <t>Định mức chi phí trực tiếp khác (TT)</t>
  </si>
  <si>
    <t>Tỷ lệ chi phí XD nhà tạm tại hiện trường để ở và điều hành thi công</t>
  </si>
  <si>
    <t>II. CÁC HỆ SỐ, ĐỊNH MỨC TỶ LỆ</t>
  </si>
  <si>
    <t>WWW.GIAXAYDUNG.VN CHUNG TAY XÂY DỰNG ĐẤT NƯỚC</t>
  </si>
  <si>
    <t>Tên công trình:</t>
  </si>
  <si>
    <t>Địa điểm xây dựng công trình:</t>
  </si>
  <si>
    <t>Ma dút (đồng/lít)</t>
  </si>
  <si>
    <t xml:space="preserve">Định mức chi phí chung (C) </t>
  </si>
  <si>
    <t>Định mức thu nhập chịu thuế tính trước (TL)</t>
  </si>
  <si>
    <t>Công tác xây dựng trong hầm lò, hầm thủy điện</t>
  </si>
  <si>
    <t>Công tác xây dựng trong đường hàm giao thông</t>
  </si>
  <si>
    <t>Công trình tu bổ, phục hồi di tích lịch sử, văn hóa</t>
  </si>
  <si>
    <t>Công tác duy tu sửa chữa thường xuyên  đường bộ, đường sắt, đường thủy nội địa, hệ thống báo hiệu hàng hải và đường thủy nội địa</t>
  </si>
  <si>
    <t>Công trình hầm giao thông</t>
  </si>
  <si>
    <t>Đào, đắp đất công trình thủy lợi bằng thủ công</t>
  </si>
  <si>
    <t>Máy cắt thép Plaxma</t>
  </si>
  <si>
    <t xml:space="preserve">Máy lốc tôn - công suất: </t>
  </si>
  <si>
    <t>M0520</t>
  </si>
  <si>
    <t>Máy cắt đột - công suất:</t>
  </si>
  <si>
    <t>M0521</t>
  </si>
  <si>
    <t>Máy cắt uốn cốt thép - công suất:</t>
  </si>
  <si>
    <t>M0522</t>
  </si>
  <si>
    <t xml:space="preserve">5,0 kW </t>
  </si>
  <si>
    <t>Máy cưa kim loại - công suất:</t>
  </si>
  <si>
    <t>M0523</t>
  </si>
  <si>
    <t>M0524</t>
  </si>
  <si>
    <t>2,7 kW</t>
  </si>
  <si>
    <t>Máy tiện - công suất:</t>
  </si>
  <si>
    <t>M0525</t>
  </si>
  <si>
    <t xml:space="preserve"> 4,5 kW</t>
  </si>
  <si>
    <t>M0526</t>
  </si>
  <si>
    <t>10, kW</t>
  </si>
  <si>
    <t>Máy bào thép - công suất:</t>
  </si>
  <si>
    <t>M0527</t>
  </si>
  <si>
    <t>7,5 kW</t>
  </si>
  <si>
    <t>Máy phay - công suất:</t>
  </si>
  <si>
    <t>M0528</t>
  </si>
  <si>
    <t>Máy ghép mí - công suất:</t>
  </si>
  <si>
    <t>M0529</t>
  </si>
  <si>
    <t xml:space="preserve">1,1 kW </t>
  </si>
  <si>
    <t>Máy mài - công suất:</t>
  </si>
  <si>
    <t>M0530</t>
  </si>
  <si>
    <t xml:space="preserve"> 1,0 kW</t>
  </si>
  <si>
    <t>M0531</t>
  </si>
  <si>
    <t xml:space="preserve"> 2,7 kW</t>
  </si>
  <si>
    <t>Máy nối ống nhựa:</t>
  </si>
  <si>
    <t>M0532</t>
  </si>
  <si>
    <t>Máy hàn nhiệt</t>
  </si>
  <si>
    <t xml:space="preserve">Máy cưa gỗ cầm tay - công suất: </t>
  </si>
  <si>
    <t>M0533</t>
  </si>
  <si>
    <t xml:space="preserve"> 1,3 kW</t>
  </si>
  <si>
    <t>Máy cắt cỏ cầm tay - công suất:</t>
  </si>
  <si>
    <t>M0534</t>
  </si>
  <si>
    <t xml:space="preserve"> 0,8 kW</t>
  </si>
  <si>
    <t>Máy khoan đất đá, cầm tay - đường kính khoan:</t>
  </si>
  <si>
    <t>M0535</t>
  </si>
  <si>
    <t>F&lt;= 42mm (động cơ điện - 1,2 kW)</t>
  </si>
  <si>
    <t>M0536</t>
  </si>
  <si>
    <t>F&lt;= 42 mm (truyền động khí nén - chưa tính khí nén)</t>
  </si>
  <si>
    <t>M0537</t>
  </si>
  <si>
    <t>F&lt;= 42mm (khoan SIG - chưa tính khí nén)</t>
  </si>
  <si>
    <t>M0538</t>
  </si>
  <si>
    <t>Búa chèn (truyền động khí nén - chưa tính khí nén)</t>
  </si>
  <si>
    <t>Máy khoan xoay đập tự hành, khí nén (chưa tính khí nén) - đường kính khoan:</t>
  </si>
  <si>
    <t>Búa diezel chạy trên ray 2,2T</t>
  </si>
  <si>
    <t>Búa diezel chạy trên ray 2,5T</t>
  </si>
  <si>
    <t>Búa diezel chạy trên ray 3,5T</t>
  </si>
  <si>
    <t>Búa diezel chạy trên ray 5,5T</t>
  </si>
  <si>
    <t>Búa diezel chạy trên ray 4,5T</t>
  </si>
  <si>
    <t>Cân thủy tĩnh</t>
  </si>
  <si>
    <t>Máy địa chấn 12 mạch TRIOSX 12</t>
  </si>
  <si>
    <t>Máy địa chấn TRIOSX 24</t>
  </si>
  <si>
    <t>Máy thí nghiệm thủy lực quay tay</t>
  </si>
  <si>
    <t>Máy nén 4T quay tay</t>
  </si>
  <si>
    <t>Máy nén thủy lực 10T</t>
  </si>
  <si>
    <t>Máy nén thủy lực 50T</t>
  </si>
  <si>
    <t>Máy nén thủy lực 125T</t>
  </si>
  <si>
    <t>Máy kéo nén thủy lực 100T</t>
  </si>
  <si>
    <t>Máy kéo nén uốn thủy lực 25T</t>
  </si>
  <si>
    <t>Máy kéo nén uốn thủy lực 100T</t>
  </si>
  <si>
    <t>Máy gia tải 20T</t>
  </si>
  <si>
    <t>Máy đo áp xuất âm thanh</t>
  </si>
  <si>
    <t>Máy test modun</t>
  </si>
  <si>
    <t>Máy so mầu quang điện</t>
  </si>
  <si>
    <t>Máy đo độ dãn dài Bi tum</t>
  </si>
  <si>
    <t>Bộ thí nghiệm đo độ co ngót trương nở</t>
  </si>
  <si>
    <t>Máy nghiền bi sứ LE 1</t>
  </si>
  <si>
    <t>Tenxomet</t>
  </si>
  <si>
    <t>Máy nhiễu xạ Rơn ghen (phân tích thành phần hóa lý của vật liệu)</t>
  </si>
  <si>
    <t>Dụng cụ xác định độ chịu lực va đập xung kích</t>
  </si>
  <si>
    <t>Kẹp Niken</t>
  </si>
  <si>
    <t>Máy siêu âm đo chiều dày kim loại</t>
  </si>
  <si>
    <t>Mã hiệu
(Delta)</t>
  </si>
  <si>
    <t>Máy xúc lật 2,3m3</t>
  </si>
  <si>
    <t>Xe ép rác thùng kín tải trọng 1,5T</t>
  </si>
  <si>
    <t>Xe nhặt rác</t>
  </si>
  <si>
    <t>Máy kéo bánh hơi 215CV</t>
  </si>
  <si>
    <t>Vận thăng 3T</t>
  </si>
  <si>
    <t>Máy rải 130-140CV</t>
  </si>
  <si>
    <t>Máy hàn hơi 2000l/h</t>
  </si>
  <si>
    <t>Máy khoan xoay đập tự hành D105 -110mm</t>
  </si>
  <si>
    <t>M1136</t>
  </si>
  <si>
    <t>M1140</t>
  </si>
  <si>
    <t>M1142</t>
  </si>
  <si>
    <t>M1144</t>
  </si>
  <si>
    <t>M1146</t>
  </si>
  <si>
    <t>M1114</t>
  </si>
  <si>
    <t>M1158</t>
  </si>
  <si>
    <t>M1152</t>
  </si>
  <si>
    <t>M1150</t>
  </si>
  <si>
    <t>M1154</t>
  </si>
  <si>
    <t>M1162</t>
  </si>
  <si>
    <t>M1116</t>
  </si>
  <si>
    <t>M1160</t>
  </si>
  <si>
    <t>M1164</t>
  </si>
  <si>
    <t>M1166</t>
  </si>
  <si>
    <t>M1168</t>
  </si>
  <si>
    <t>M1170</t>
  </si>
  <si>
    <t>M1172</t>
  </si>
  <si>
    <t>M1156</t>
  </si>
  <si>
    <t>M1126</t>
  </si>
  <si>
    <t>M1130</t>
  </si>
  <si>
    <t>M1128</t>
  </si>
  <si>
    <t>M1132</t>
  </si>
  <si>
    <t>M1178</t>
  </si>
  <si>
    <t>M1118</t>
  </si>
  <si>
    <t>M1120</t>
  </si>
  <si>
    <t>M1122</t>
  </si>
  <si>
    <t>M1124</t>
  </si>
  <si>
    <t>M1102</t>
  </si>
  <si>
    <t>M1110</t>
  </si>
  <si>
    <t>M1108</t>
  </si>
  <si>
    <t>M3308</t>
  </si>
  <si>
    <t>M3318</t>
  </si>
  <si>
    <t>M3312</t>
  </si>
  <si>
    <t>M3314</t>
  </si>
  <si>
    <t>M3326</t>
  </si>
  <si>
    <t>M3320</t>
  </si>
  <si>
    <t>M3322</t>
  </si>
  <si>
    <t>M3328</t>
  </si>
  <si>
    <t>M3330</t>
  </si>
  <si>
    <t>M0904</t>
  </si>
  <si>
    <t>M3290</t>
  </si>
  <si>
    <t>M3292</t>
  </si>
  <si>
    <t>M3294</t>
  </si>
  <si>
    <t>M1792</t>
  </si>
  <si>
    <t>M1794</t>
  </si>
  <si>
    <t>M1796</t>
  </si>
  <si>
    <t>M2874</t>
  </si>
  <si>
    <t>M2878</t>
  </si>
  <si>
    <t>M2882</t>
  </si>
  <si>
    <t>M2850</t>
  </si>
  <si>
    <t>M2852</t>
  </si>
  <si>
    <t>M2856</t>
  </si>
  <si>
    <t>M2858</t>
  </si>
  <si>
    <t>M2860</t>
  </si>
  <si>
    <t>M2864</t>
  </si>
  <si>
    <t>M2868</t>
  </si>
  <si>
    <t>M2870</t>
  </si>
  <si>
    <t>M2872</t>
  </si>
  <si>
    <t>M3632</t>
  </si>
  <si>
    <t>M3634</t>
  </si>
  <si>
    <t>M3636</t>
  </si>
  <si>
    <t>M3638</t>
  </si>
  <si>
    <t>M3640</t>
  </si>
  <si>
    <t>M3642</t>
  </si>
  <si>
    <t>M1916</t>
  </si>
  <si>
    <t>M1910</t>
  </si>
  <si>
    <t>M1912</t>
  </si>
  <si>
    <t>M1914</t>
  </si>
  <si>
    <t>M3060</t>
  </si>
  <si>
    <t>M3062</t>
  </si>
  <si>
    <t>M3054</t>
  </si>
  <si>
    <t>M3056</t>
  </si>
  <si>
    <t>M3058</t>
  </si>
  <si>
    <t>M1198</t>
  </si>
  <si>
    <t>M1197</t>
  </si>
  <si>
    <t>M1202</t>
  </si>
  <si>
    <t>M2248</t>
  </si>
  <si>
    <t>M2236</t>
  </si>
  <si>
    <t>M2238</t>
  </si>
  <si>
    <t>M2242</t>
  </si>
  <si>
    <t>M2244</t>
  </si>
  <si>
    <t>M1224</t>
  </si>
  <si>
    <t>M2600</t>
  </si>
  <si>
    <t>M1218</t>
  </si>
  <si>
    <t>M1220</t>
  </si>
  <si>
    <t>M1286</t>
  </si>
  <si>
    <t>M1280</t>
  </si>
  <si>
    <t>M1282</t>
  </si>
  <si>
    <t>M1284</t>
  </si>
  <si>
    <t>M1258</t>
  </si>
  <si>
    <t>M1242</t>
  </si>
  <si>
    <t>M1232</t>
  </si>
  <si>
    <t>M1234</t>
  </si>
  <si>
    <t>M1236</t>
  </si>
  <si>
    <t>M1238</t>
  </si>
  <si>
    <t>M1240</t>
  </si>
  <si>
    <t>M2608</t>
  </si>
  <si>
    <t>M3910</t>
  </si>
  <si>
    <t>M3914</t>
  </si>
  <si>
    <t>M3884</t>
  </si>
  <si>
    <t>M3896</t>
  </si>
  <si>
    <t>M3900</t>
  </si>
  <si>
    <t>M3890</t>
  </si>
  <si>
    <t>M3892</t>
  </si>
  <si>
    <t>M3898</t>
  </si>
  <si>
    <t>M888</t>
  </si>
  <si>
    <t>M3894</t>
  </si>
  <si>
    <t>M3958</t>
  </si>
  <si>
    <t>M3842</t>
  </si>
  <si>
    <t>M3844</t>
  </si>
  <si>
    <t>M3846</t>
  </si>
  <si>
    <t>M3840</t>
  </si>
  <si>
    <t>M3428</t>
  </si>
  <si>
    <t>M3432</t>
  </si>
  <si>
    <t>M3434</t>
  </si>
  <si>
    <t>M3422</t>
  </si>
  <si>
    <t>M3424</t>
  </si>
  <si>
    <t>M3426</t>
  </si>
  <si>
    <t>M3430</t>
  </si>
  <si>
    <t>M3418</t>
  </si>
  <si>
    <t>M3420</t>
  </si>
  <si>
    <t>M2256</t>
  </si>
  <si>
    <t>M2258</t>
  </si>
  <si>
    <t>M2262</t>
  </si>
  <si>
    <t>M2252</t>
  </si>
  <si>
    <t>M2254</t>
  </si>
  <si>
    <t>M2224</t>
  </si>
  <si>
    <t>M2226</t>
  </si>
  <si>
    <t>M2228</t>
  </si>
  <si>
    <t>M2232</t>
  </si>
  <si>
    <t>M2234</t>
  </si>
  <si>
    <t>M2220</t>
  </si>
  <si>
    <t>M2222</t>
  </si>
  <si>
    <t>M3612</t>
  </si>
  <si>
    <t>M3906</t>
  </si>
  <si>
    <t>M3908</t>
  </si>
  <si>
    <t>M3414</t>
  </si>
  <si>
    <t>M3608</t>
  </si>
  <si>
    <t>M0878</t>
  </si>
  <si>
    <t>M0860</t>
  </si>
  <si>
    <t>M0834</t>
  </si>
  <si>
    <t>M0836</t>
  </si>
  <si>
    <t>M0838</t>
  </si>
  <si>
    <t>M0840</t>
  </si>
  <si>
    <t>M0842</t>
  </si>
  <si>
    <t>M0830</t>
  </si>
  <si>
    <t>M0832</t>
  </si>
  <si>
    <t>M3796</t>
  </si>
  <si>
    <t>M3800</t>
  </si>
  <si>
    <t>M3802</t>
  </si>
  <si>
    <t>M3804</t>
  </si>
  <si>
    <t>M3806</t>
  </si>
  <si>
    <t>M3246</t>
  </si>
  <si>
    <t>M3580</t>
  </si>
  <si>
    <t>M3588</t>
  </si>
  <si>
    <t>M3582</t>
  </si>
  <si>
    <t>M3592</t>
  </si>
  <si>
    <t>M3590</t>
  </si>
  <si>
    <t>M3596</t>
  </si>
  <si>
    <t>M3594</t>
  </si>
  <si>
    <t>M3598</t>
  </si>
  <si>
    <t>M3600</t>
  </si>
  <si>
    <t>M3384</t>
  </si>
  <si>
    <t>M3386</t>
  </si>
  <si>
    <t>M0978</t>
  </si>
  <si>
    <t>M0980</t>
  </si>
  <si>
    <t>M0946</t>
  </si>
  <si>
    <t>M0982</t>
  </si>
  <si>
    <t>M0970</t>
  </si>
  <si>
    <t>M0974</t>
  </si>
  <si>
    <t>M0976</t>
  </si>
  <si>
    <t>M2612</t>
  </si>
  <si>
    <t>M1844</t>
  </si>
  <si>
    <t>M1846</t>
  </si>
  <si>
    <t>M3714</t>
  </si>
  <si>
    <t>M3716</t>
  </si>
  <si>
    <t>M3938</t>
  </si>
  <si>
    <t>M3940</t>
  </si>
  <si>
    <t>M3946</t>
  </si>
  <si>
    <t>M3942</t>
  </si>
  <si>
    <t>M3944</t>
  </si>
  <si>
    <t>M3948</t>
  </si>
  <si>
    <t>M2640</t>
  </si>
  <si>
    <t>M3164</t>
  </si>
  <si>
    <t>M3168</t>
  </si>
  <si>
    <t>M3172</t>
  </si>
  <si>
    <t>M3174</t>
  </si>
  <si>
    <t>M3176</t>
  </si>
  <si>
    <t>M3178</t>
  </si>
  <si>
    <t>M3180</t>
  </si>
  <si>
    <t>M3166</t>
  </si>
  <si>
    <t>M3170</t>
  </si>
  <si>
    <t>M3210</t>
  </si>
  <si>
    <t>M3200</t>
  </si>
  <si>
    <t>M3202</t>
  </si>
  <si>
    <t>M3204</t>
  </si>
  <si>
    <t>M3206</t>
  </si>
  <si>
    <t>M3208</t>
  </si>
  <si>
    <t>M3748</t>
  </si>
  <si>
    <t>M3728</t>
  </si>
  <si>
    <t>M3750</t>
  </si>
  <si>
    <t>M3730</t>
  </si>
  <si>
    <t>M3752</t>
  </si>
  <si>
    <t>M3734</t>
  </si>
  <si>
    <t>M3754</t>
  </si>
  <si>
    <t>M3756</t>
  </si>
  <si>
    <t>M3744</t>
  </si>
  <si>
    <t>M3746</t>
  </si>
  <si>
    <t>M1738</t>
  </si>
  <si>
    <t>M1746</t>
  </si>
  <si>
    <t>M1748</t>
  </si>
  <si>
    <t>M1750</t>
  </si>
  <si>
    <t>M1742</t>
  </si>
  <si>
    <t>M3854</t>
  </si>
  <si>
    <t>M3856</t>
  </si>
  <si>
    <t>M1570</t>
  </si>
  <si>
    <t>M1574</t>
  </si>
  <si>
    <t>M3020</t>
  </si>
  <si>
    <t>M3018</t>
  </si>
  <si>
    <t>M3030</t>
  </si>
  <si>
    <t>M1244</t>
  </si>
  <si>
    <t>M1246</t>
  </si>
  <si>
    <t>M1248</t>
  </si>
  <si>
    <t>M1268</t>
  </si>
  <si>
    <t>M1266</t>
  </si>
  <si>
    <t>M1270</t>
  </si>
  <si>
    <t>M1272</t>
  </si>
  <si>
    <t>M3044</t>
  </si>
  <si>
    <t>M3046</t>
  </si>
  <si>
    <t>M3048</t>
  </si>
  <si>
    <t>M2810</t>
  </si>
  <si>
    <t>M2820</t>
  </si>
  <si>
    <t>M2808</t>
  </si>
  <si>
    <t>M2806</t>
  </si>
  <si>
    <t>M2812</t>
  </si>
  <si>
    <t>M2814</t>
  </si>
  <si>
    <t>M3764</t>
  </si>
  <si>
    <t>M3765</t>
  </si>
  <si>
    <t>M3768</t>
  </si>
  <si>
    <t>M3770</t>
  </si>
  <si>
    <t>M3772</t>
  </si>
  <si>
    <t>M2996</t>
  </si>
  <si>
    <t>M3038</t>
  </si>
  <si>
    <t>M3036</t>
  </si>
  <si>
    <t>M3022</t>
  </si>
  <si>
    <t>M3032</t>
  </si>
  <si>
    <t>M1798</t>
  </si>
  <si>
    <t>M3692</t>
  </si>
  <si>
    <t>M1006</t>
  </si>
  <si>
    <t>M3686</t>
  </si>
  <si>
    <t>M1726</t>
  </si>
  <si>
    <t>M1654</t>
  </si>
  <si>
    <t>M1656</t>
  </si>
  <si>
    <t>M1658</t>
  </si>
  <si>
    <t>M1660</t>
  </si>
  <si>
    <t>M1682</t>
  </si>
  <si>
    <t>M1668</t>
  </si>
  <si>
    <t>M1690</t>
  </si>
  <si>
    <t>M1686</t>
  </si>
  <si>
    <t>M1700</t>
  </si>
  <si>
    <t>M1662</t>
  </si>
  <si>
    <t>M1666</t>
  </si>
  <si>
    <t>M1674</t>
  </si>
  <si>
    <t>M1676</t>
  </si>
  <si>
    <t>M1680</t>
  </si>
  <si>
    <t>M1684</t>
  </si>
  <si>
    <t>M1688</t>
  </si>
  <si>
    <t>M1692</t>
  </si>
  <si>
    <t>M1694</t>
  </si>
  <si>
    <t>M1698</t>
  </si>
  <si>
    <t>M1758</t>
  </si>
  <si>
    <t>M1664</t>
  </si>
  <si>
    <t>M1718</t>
  </si>
  <si>
    <t>M1716</t>
  </si>
  <si>
    <t>M1724</t>
  </si>
  <si>
    <t>M1720</t>
  </si>
  <si>
    <t>M1704</t>
  </si>
  <si>
    <t>M1708</t>
  </si>
  <si>
    <t>M1710</t>
  </si>
  <si>
    <t>M1678</t>
  </si>
  <si>
    <t>M1712</t>
  </si>
  <si>
    <t>M1714</t>
  </si>
  <si>
    <t>M1722</t>
  </si>
  <si>
    <t>M1620</t>
  </si>
  <si>
    <t>M1552</t>
  </si>
  <si>
    <t>M1638</t>
  </si>
  <si>
    <t>M1640</t>
  </si>
  <si>
    <t>M1646</t>
  </si>
  <si>
    <t>M1648</t>
  </si>
  <si>
    <t>M1650</t>
  </si>
  <si>
    <t>M1732</t>
  </si>
  <si>
    <t>M1730</t>
  </si>
  <si>
    <t>M1734</t>
  </si>
  <si>
    <t>M2802</t>
  </si>
  <si>
    <t>M2804</t>
  </si>
  <si>
    <t>M2196</t>
  </si>
  <si>
    <t>M3080</t>
  </si>
  <si>
    <t>V3814</t>
  </si>
  <si>
    <t>M2902</t>
  </si>
  <si>
    <t>M2914</t>
  </si>
  <si>
    <t>M2924</t>
  </si>
  <si>
    <t>M2890</t>
  </si>
  <si>
    <t>M2896</t>
  </si>
  <si>
    <t>M2904</t>
  </si>
  <si>
    <t>M2906</t>
  </si>
  <si>
    <t>M2908</t>
  </si>
  <si>
    <t>M2910</t>
  </si>
  <si>
    <t>M2912</t>
  </si>
  <si>
    <t>M2916</t>
  </si>
  <si>
    <t>M2920</t>
  </si>
  <si>
    <t>M2922</t>
  </si>
  <si>
    <t>M2892</t>
  </si>
  <si>
    <t>M2894</t>
  </si>
  <si>
    <t>M2784</t>
  </si>
  <si>
    <t>M2774</t>
  </si>
  <si>
    <t>M2780</t>
  </si>
  <si>
    <t>M2786</t>
  </si>
  <si>
    <t>M2776</t>
  </si>
  <si>
    <t>M2778</t>
  </si>
  <si>
    <t>M2782</t>
  </si>
  <si>
    <t>M2788</t>
  </si>
  <si>
    <t>M2756</t>
  </si>
  <si>
    <t>M2768</t>
  </si>
  <si>
    <t>M2740</t>
  </si>
  <si>
    <t>M2746</t>
  </si>
  <si>
    <t>M2748</t>
  </si>
  <si>
    <t>M2750</t>
  </si>
  <si>
    <t>M2752</t>
  </si>
  <si>
    <t>M2754</t>
  </si>
  <si>
    <t>M2760</t>
  </si>
  <si>
    <t>M2762</t>
  </si>
  <si>
    <t>M2764</t>
  </si>
  <si>
    <t>M2738</t>
  </si>
  <si>
    <t>M2686</t>
  </si>
  <si>
    <t>M2670</t>
  </si>
  <si>
    <t>M2676</t>
  </si>
  <si>
    <t>M2682</t>
  </si>
  <si>
    <t>M2684</t>
  </si>
  <si>
    <t>M2672</t>
  </si>
  <si>
    <t>M2674</t>
  </si>
  <si>
    <t>M2678</t>
  </si>
  <si>
    <t>M2680</t>
  </si>
  <si>
    <t>M2688</t>
  </si>
  <si>
    <t>M1780</t>
  </si>
  <si>
    <t>M1782</t>
  </si>
  <si>
    <t>M2166</t>
  </si>
  <si>
    <t>M2164</t>
  </si>
  <si>
    <t>M2118</t>
  </si>
  <si>
    <t>M2114</t>
  </si>
  <si>
    <t>M2116</t>
  </si>
  <si>
    <t>M2124</t>
  </si>
  <si>
    <t>M2122</t>
  </si>
  <si>
    <t>M2112</t>
  </si>
  <si>
    <t>M3002</t>
  </si>
  <si>
    <t>M2994</t>
  </si>
  <si>
    <t>M2368</t>
  </si>
  <si>
    <t>M2370</t>
  </si>
  <si>
    <t>M2428</t>
  </si>
  <si>
    <t>M1890</t>
  </si>
  <si>
    <t>M1888</t>
  </si>
  <si>
    <t>M2394</t>
  </si>
  <si>
    <t>M2398</t>
  </si>
  <si>
    <t>M2400</t>
  </si>
  <si>
    <t>M2402</t>
  </si>
  <si>
    <t>M2388</t>
  </si>
  <si>
    <t>M1860</t>
  </si>
  <si>
    <t>M1834</t>
  </si>
  <si>
    <t>M1836</t>
  </si>
  <si>
    <t>M3228</t>
  </si>
  <si>
    <t>M1858</t>
  </si>
  <si>
    <t>M1896</t>
  </si>
  <si>
    <t>M1892</t>
  </si>
  <si>
    <t>M1904</t>
  </si>
  <si>
    <t>M2594</t>
  </si>
  <si>
    <t>M1824</t>
  </si>
  <si>
    <t>M1908</t>
  </si>
  <si>
    <t>M1938</t>
  </si>
  <si>
    <t>M1940</t>
  </si>
  <si>
    <t>M3144</t>
  </si>
  <si>
    <t>M3142</t>
  </si>
  <si>
    <t>M1768</t>
  </si>
  <si>
    <t>M2988</t>
  </si>
  <si>
    <t>M2622</t>
  </si>
  <si>
    <t>M3348</t>
  </si>
  <si>
    <t>M2158</t>
  </si>
  <si>
    <t>M1936</t>
  </si>
  <si>
    <t>M1852</t>
  </si>
  <si>
    <t>M2316</t>
  </si>
  <si>
    <t>M2304</t>
  </si>
  <si>
    <t>M2522</t>
  </si>
  <si>
    <t>M2518</t>
  </si>
  <si>
    <t>M2514</t>
  </si>
  <si>
    <t>M2322</t>
  </si>
  <si>
    <t>M2334</t>
  </si>
  <si>
    <t>M2336</t>
  </si>
  <si>
    <t>M2338</t>
  </si>
  <si>
    <t>M2340</t>
  </si>
  <si>
    <t>M2328</t>
  </si>
  <si>
    <t>M2330</t>
  </si>
  <si>
    <t>M2332</t>
  </si>
  <si>
    <t>M2534</t>
  </si>
  <si>
    <t>M2538</t>
  </si>
  <si>
    <t>M2460</t>
  </si>
  <si>
    <t>M2462</t>
  </si>
  <si>
    <t>M2474</t>
  </si>
  <si>
    <t>M2482</t>
  </si>
  <si>
    <t>M3530</t>
  </si>
  <si>
    <t>M2324</t>
  </si>
  <si>
    <t>M2530</t>
  </si>
  <si>
    <t>M2526</t>
  </si>
  <si>
    <t>M2478</t>
  </si>
  <si>
    <t>M0934</t>
  </si>
  <si>
    <t>M2476</t>
  </si>
  <si>
    <t>M2544</t>
  </si>
  <si>
    <t>M3478</t>
  </si>
  <si>
    <t>M2024</t>
  </si>
  <si>
    <t>M2018</t>
  </si>
  <si>
    <t>M2020</t>
  </si>
  <si>
    <t>M2022</t>
  </si>
  <si>
    <t>M2010</t>
  </si>
  <si>
    <t>M2046</t>
  </si>
  <si>
    <t>M1954</t>
  </si>
  <si>
    <t>M2500</t>
  </si>
  <si>
    <t>M2416</t>
  </si>
  <si>
    <t>M2448</t>
  </si>
  <si>
    <t>M2484</t>
  </si>
  <si>
    <t>M2506</t>
  </si>
  <si>
    <t>M2318</t>
  </si>
  <si>
    <t>M3190</t>
  </si>
  <si>
    <t>M3191</t>
  </si>
  <si>
    <t>M3040</t>
  </si>
  <si>
    <t>M3456</t>
  </si>
  <si>
    <t>M3442</t>
  </si>
  <si>
    <t>M3454</t>
  </si>
  <si>
    <t>M3444</t>
  </si>
  <si>
    <t>M3446</t>
  </si>
  <si>
    <t>M3448</t>
  </si>
  <si>
    <t>M3450</t>
  </si>
  <si>
    <t>M3438</t>
  </si>
  <si>
    <t>M3388</t>
  </si>
  <si>
    <t>M3392</t>
  </si>
  <si>
    <t>M3394</t>
  </si>
  <si>
    <t>M3398</t>
  </si>
  <si>
    <t>M3396</t>
  </si>
  <si>
    <t>M3390</t>
  </si>
  <si>
    <t>M3544</t>
  </si>
  <si>
    <t>M3548</t>
  </si>
  <si>
    <t>M3550</t>
  </si>
  <si>
    <t>M3552</t>
  </si>
  <si>
    <t>M3554</t>
  </si>
  <si>
    <t>M3542</t>
  </si>
  <si>
    <t>M3546</t>
  </si>
  <si>
    <t>M4022</t>
  </si>
  <si>
    <t>M4024</t>
  </si>
  <si>
    <t>M4018</t>
  </si>
  <si>
    <t>M4020</t>
  </si>
  <si>
    <t>M3680</t>
  </si>
  <si>
    <t>M4032</t>
  </si>
  <si>
    <t>M4030</t>
  </si>
  <si>
    <t>M4031</t>
  </si>
  <si>
    <t>M3518</t>
  </si>
  <si>
    <t>M3574</t>
  </si>
  <si>
    <t>M3496</t>
  </si>
  <si>
    <t>M3498</t>
  </si>
  <si>
    <t>M3514</t>
  </si>
  <si>
    <t>M3932</t>
  </si>
  <si>
    <t>M3934</t>
  </si>
  <si>
    <t>M3936</t>
  </si>
  <si>
    <t>M4004</t>
  </si>
  <si>
    <t>M3504</t>
  </si>
  <si>
    <t>M3502</t>
  </si>
  <si>
    <t>M3562</t>
  </si>
  <si>
    <t>M3558</t>
  </si>
  <si>
    <t>M3506</t>
  </si>
  <si>
    <t>M3560</t>
  </si>
  <si>
    <t>M3556</t>
  </si>
  <si>
    <t>M3566</t>
  </si>
  <si>
    <t>M3512</t>
  </si>
  <si>
    <t>M3570</t>
  </si>
  <si>
    <t>M3476</t>
  </si>
  <si>
    <t>M3816</t>
  </si>
  <si>
    <t>M3820</t>
  </si>
  <si>
    <t>M3818</t>
  </si>
  <si>
    <t>M3406</t>
  </si>
  <si>
    <t>M3408</t>
  </si>
  <si>
    <t>M1752</t>
  </si>
  <si>
    <t>M3648</t>
  </si>
  <si>
    <t>M2452</t>
  </si>
  <si>
    <t>M3336</t>
  </si>
  <si>
    <t>M3338</t>
  </si>
  <si>
    <t>M3658</t>
  </si>
  <si>
    <t>M2770</t>
  </si>
  <si>
    <t>M2722</t>
  </si>
  <si>
    <t>M2696</t>
  </si>
  <si>
    <t>M3240</t>
  </si>
  <si>
    <t>M2564</t>
  </si>
  <si>
    <t>M3108</t>
  </si>
  <si>
    <t>M3114</t>
  </si>
  <si>
    <t>M3116</t>
  </si>
  <si>
    <t>M3156</t>
  </si>
  <si>
    <t>M3882</t>
  </si>
  <si>
    <t>M0902</t>
  </si>
  <si>
    <t>M0992</t>
  </si>
  <si>
    <t>M0994</t>
  </si>
  <si>
    <t>M1540</t>
  </si>
  <si>
    <t>M3664</t>
  </si>
  <si>
    <t>M3780</t>
  </si>
  <si>
    <t>M2062</t>
  </si>
  <si>
    <t>M3690</t>
  </si>
  <si>
    <t>M3694</t>
  </si>
  <si>
    <t>M1532</t>
  </si>
  <si>
    <t>M1530</t>
  </si>
  <si>
    <t>M1008</t>
  </si>
  <si>
    <t>M3710</t>
  </si>
  <si>
    <t>M3706</t>
  </si>
  <si>
    <t>M3708</t>
  </si>
  <si>
    <t>M2194</t>
  </si>
  <si>
    <t>M2200</t>
  </si>
  <si>
    <t>M2201</t>
  </si>
  <si>
    <t>M1952</t>
  </si>
  <si>
    <t>M3162</t>
  </si>
  <si>
    <t>M3212</t>
  </si>
  <si>
    <t>M3198</t>
  </si>
  <si>
    <t>M1290</t>
  </si>
  <si>
    <t>M1822</t>
  </si>
  <si>
    <t>M1874</t>
  </si>
  <si>
    <t>M1882</t>
  </si>
  <si>
    <t>M1881</t>
  </si>
  <si>
    <t>M2038</t>
  </si>
  <si>
    <t>M0972</t>
  </si>
  <si>
    <t>M2040</t>
  </si>
  <si>
    <t>M1876</t>
  </si>
  <si>
    <t>M2468</t>
  </si>
  <si>
    <t>M2634</t>
  </si>
  <si>
    <t>M2658</t>
  </si>
  <si>
    <t>M2790</t>
  </si>
  <si>
    <t>M1948</t>
  </si>
  <si>
    <t>M3130</t>
  </si>
  <si>
    <t>M2662</t>
  </si>
  <si>
    <t>M2794</t>
  </si>
  <si>
    <t>M2798</t>
  </si>
  <si>
    <t>M2796</t>
  </si>
  <si>
    <t>M2288</t>
  </si>
  <si>
    <t>M2292</t>
  </si>
  <si>
    <t>M2290</t>
  </si>
  <si>
    <t>M2078</t>
  </si>
  <si>
    <t>M1946</t>
  </si>
  <si>
    <t>M3256</t>
  </si>
  <si>
    <t>M1450</t>
  </si>
  <si>
    <t>M1314</t>
  </si>
  <si>
    <t>M1394</t>
  </si>
  <si>
    <t>M1348</t>
  </si>
  <si>
    <t>M1518</t>
  </si>
  <si>
    <t>M1484</t>
  </si>
  <si>
    <t>M1338</t>
  </si>
  <si>
    <t>M0890</t>
  </si>
  <si>
    <t>M1406</t>
  </si>
  <si>
    <t>M2074</t>
  </si>
  <si>
    <t>M1396</t>
  </si>
  <si>
    <t>M3100</t>
  </si>
  <si>
    <t>M3082</t>
  </si>
  <si>
    <t>M3086</t>
  </si>
  <si>
    <t>M1326</t>
  </si>
  <si>
    <t>M1958</t>
  </si>
  <si>
    <t>M3696</t>
  </si>
  <si>
    <t>M2556</t>
  </si>
  <si>
    <t>M2558</t>
  </si>
  <si>
    <t>M2816</t>
  </si>
  <si>
    <t>M2956</t>
  </si>
  <si>
    <t>M2984</t>
  </si>
  <si>
    <t>M3622</t>
  </si>
  <si>
    <t>M1330</t>
  </si>
  <si>
    <t>M1410</t>
  </si>
  <si>
    <t>M2830</t>
  </si>
  <si>
    <t>M0896</t>
  </si>
  <si>
    <t>M0898</t>
  </si>
  <si>
    <t>M0884</t>
  </si>
  <si>
    <t>M0944</t>
  </si>
  <si>
    <t>M2056</t>
  </si>
  <si>
    <t>M3078</t>
  </si>
  <si>
    <t>M3074</t>
  </si>
  <si>
    <t>M3474</t>
  </si>
  <si>
    <t>M3066</t>
  </si>
  <si>
    <t>M3252</t>
  </si>
  <si>
    <t>M3254</t>
  </si>
  <si>
    <t>M3224</t>
  </si>
  <si>
    <t>M3226</t>
  </si>
  <si>
    <t>M3227</t>
  </si>
  <si>
    <t>M3229</t>
  </si>
  <si>
    <t>M3231</t>
  </si>
  <si>
    <t>M3233</t>
  </si>
  <si>
    <t>M3235</t>
  </si>
  <si>
    <t>M3237</t>
  </si>
  <si>
    <t>M3239</t>
  </si>
  <si>
    <t>M3241</t>
  </si>
  <si>
    <t>M3243</t>
  </si>
  <si>
    <t>M3245</t>
  </si>
  <si>
    <t>M3247</t>
  </si>
  <si>
    <t>M3249</t>
  </si>
  <si>
    <t>M3251</t>
  </si>
  <si>
    <t>M3257</t>
  </si>
  <si>
    <t>M3259</t>
  </si>
  <si>
    <t>M3263</t>
  </si>
  <si>
    <t>M3279</t>
  </si>
  <si>
    <t>M2068</t>
  </si>
  <si>
    <t>M3253</t>
  </si>
  <si>
    <t>M3255</t>
  </si>
  <si>
    <t>M3261</t>
  </si>
  <si>
    <t>M3265</t>
  </si>
  <si>
    <t>M3267</t>
  </si>
  <si>
    <t>M3269</t>
  </si>
  <si>
    <t>M3273</t>
  </si>
  <si>
    <t>M3275</t>
  </si>
  <si>
    <t>M3644</t>
  </si>
  <si>
    <t>M3072</t>
  </si>
  <si>
    <t>Nguyên giá 
(1000 VND) 
(Tham khảo)</t>
  </si>
  <si>
    <t>C24-1002</t>
  </si>
  <si>
    <t>C24-1003</t>
  </si>
  <si>
    <t>C24-1004</t>
  </si>
  <si>
    <t>C24-1005</t>
  </si>
  <si>
    <t>C24-1006</t>
  </si>
  <si>
    <t>C24-1007</t>
  </si>
  <si>
    <t>C24-1008</t>
  </si>
  <si>
    <t>C24-1009</t>
  </si>
  <si>
    <t>C24-1010</t>
  </si>
  <si>
    <t>C24-1011</t>
  </si>
  <si>
    <t>C24-1012</t>
  </si>
  <si>
    <t>C24-1013</t>
  </si>
  <si>
    <t>C24-1014</t>
  </si>
  <si>
    <t>C24-1015</t>
  </si>
  <si>
    <t>C24-1016</t>
  </si>
  <si>
    <t>C24-1017</t>
  </si>
  <si>
    <t>C24-1018</t>
  </si>
  <si>
    <t>C24-1019</t>
  </si>
  <si>
    <t>C24-1020</t>
  </si>
  <si>
    <t>C24-1021</t>
  </si>
  <si>
    <t>C24-1022</t>
  </si>
  <si>
    <t>C24-1023</t>
  </si>
  <si>
    <t>C24-1024</t>
  </si>
  <si>
    <t>C24-1025</t>
  </si>
  <si>
    <t>C24-1027</t>
  </si>
  <si>
    <t>C24-1028</t>
  </si>
  <si>
    <t>C24-1029</t>
  </si>
  <si>
    <t>C24-1030</t>
  </si>
  <si>
    <t>C24-1032</t>
  </si>
  <si>
    <t>C24-1033</t>
  </si>
  <si>
    <t>C24-1034</t>
  </si>
  <si>
    <t>C24-1035</t>
  </si>
  <si>
    <t>C24-1036</t>
  </si>
  <si>
    <t>C24-1040</t>
  </si>
  <si>
    <t>C24-1041</t>
  </si>
  <si>
    <t>C24-1042</t>
  </si>
  <si>
    <t>C24-1043</t>
  </si>
  <si>
    <t>C24-1044</t>
  </si>
  <si>
    <t>C24-1045</t>
  </si>
  <si>
    <t>C24-1047</t>
  </si>
  <si>
    <t>C24-1048</t>
  </si>
  <si>
    <t>C24-1049</t>
  </si>
  <si>
    <t>C24-1050</t>
  </si>
  <si>
    <t>C24-1051</t>
  </si>
  <si>
    <t>C24-1052</t>
  </si>
  <si>
    <t>C24-1053</t>
  </si>
  <si>
    <t>C24-1054</t>
  </si>
  <si>
    <t>C24-1055</t>
  </si>
  <si>
    <t>C24-1056</t>
  </si>
  <si>
    <t>C24-1059</t>
  </si>
  <si>
    <t>C24-1060</t>
  </si>
  <si>
    <t>C24-1061</t>
  </si>
  <si>
    <t>C24-1062</t>
  </si>
  <si>
    <t>C24-1063</t>
  </si>
  <si>
    <t>C24-1064</t>
  </si>
  <si>
    <t>C24-1065</t>
  </si>
  <si>
    <t>C24-1066</t>
  </si>
  <si>
    <t>C24-1067</t>
  </si>
  <si>
    <t>C24-1068</t>
  </si>
  <si>
    <t>C24-1069</t>
  </si>
  <si>
    <t>C24-1070</t>
  </si>
  <si>
    <t>C24-1071</t>
  </si>
  <si>
    <t>C24-1072</t>
  </si>
  <si>
    <t>C24-1073</t>
  </si>
  <si>
    <t>C24-1074</t>
  </si>
  <si>
    <t>Sửa chữa
(Csc)</t>
  </si>
  <si>
    <r>
      <t>Mã hiệu
(G</t>
    </r>
    <r>
      <rPr>
        <b/>
        <vertAlign val="subscript"/>
        <sz val="11"/>
        <rFont val="Times New Roman"/>
        <family val="1"/>
      </rPr>
      <t>XD</t>
    </r>
    <r>
      <rPr>
        <b/>
        <sz val="11"/>
        <rFont val="Times New Roman"/>
        <family val="1"/>
      </rPr>
      <t>)</t>
    </r>
  </si>
  <si>
    <r>
      <t>Giá ca máy
(C</t>
    </r>
    <r>
      <rPr>
        <b/>
        <vertAlign val="subscript"/>
        <sz val="11"/>
        <rFont val="Times New Roman"/>
        <family val="1"/>
      </rPr>
      <t>CM</t>
    </r>
    <r>
      <rPr>
        <b/>
        <sz val="11"/>
        <rFont val="Times New Roman"/>
        <family val="1"/>
      </rPr>
      <t>)
(đồng)</t>
    </r>
  </si>
  <si>
    <r>
      <t>Khấu hao
(C</t>
    </r>
    <r>
      <rPr>
        <b/>
        <vertAlign val="subscript"/>
        <sz val="11"/>
        <rFont val="Times New Roman"/>
        <family val="1"/>
      </rPr>
      <t>KH</t>
    </r>
    <r>
      <rPr>
        <b/>
        <sz val="11"/>
        <rFont val="Times New Roman"/>
        <family val="1"/>
      </rPr>
      <t>)</t>
    </r>
  </si>
  <si>
    <r>
      <t>Chi phí khác
(C</t>
    </r>
    <r>
      <rPr>
        <b/>
        <vertAlign val="subscript"/>
        <sz val="11"/>
        <rFont val="Times New Roman"/>
        <family val="1"/>
      </rPr>
      <t>CPK</t>
    </r>
    <r>
      <rPr>
        <b/>
        <sz val="11"/>
        <rFont val="Times New Roman"/>
        <family val="1"/>
      </rPr>
      <t>)</t>
    </r>
  </si>
  <si>
    <r>
      <t>Định mức tiêu hao nhiên liệu, năng lượng 1 ca
 (C</t>
    </r>
    <r>
      <rPr>
        <b/>
        <vertAlign val="subscript"/>
        <sz val="11"/>
        <rFont val="Times New Roman"/>
        <family val="1"/>
      </rPr>
      <t>NL</t>
    </r>
    <r>
      <rPr>
        <b/>
        <sz val="11"/>
        <rFont val="Times New Roman"/>
        <family val="1"/>
      </rPr>
      <t>)</t>
    </r>
  </si>
  <si>
    <r>
      <t>CP
nhiên liệu
(C</t>
    </r>
    <r>
      <rPr>
        <b/>
        <vertAlign val="subscript"/>
        <sz val="11"/>
        <rFont val="Times New Roman"/>
        <family val="1"/>
      </rPr>
      <t>NL</t>
    </r>
    <r>
      <rPr>
        <b/>
        <sz val="11"/>
        <rFont val="Times New Roman"/>
        <family val="1"/>
      </rPr>
      <t>)(Đ/ca)</t>
    </r>
  </si>
  <si>
    <r>
      <t>Thành phần cấp bậc thợ điều khiển máy
(C</t>
    </r>
    <r>
      <rPr>
        <b/>
        <vertAlign val="subscript"/>
        <sz val="11"/>
        <rFont val="Times New Roman"/>
        <family val="1"/>
      </rPr>
      <t>TL</t>
    </r>
    <r>
      <rPr>
        <b/>
        <sz val="11"/>
        <rFont val="Times New Roman"/>
        <family val="1"/>
      </rPr>
      <t>)
Đ/ca</t>
    </r>
  </si>
  <si>
    <r>
      <t>CP
tiền lương
(C</t>
    </r>
    <r>
      <rPr>
        <b/>
        <vertAlign val="subscript"/>
        <sz val="11"/>
        <rFont val="Times New Roman"/>
        <family val="1"/>
      </rPr>
      <t>TL</t>
    </r>
    <r>
      <rPr>
        <b/>
        <sz val="11"/>
        <rFont val="Times New Roman"/>
        <family val="1"/>
      </rPr>
      <t>)</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</si>
</sst>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m"/>
    <numFmt numFmtId="167" formatCode="dd"/>
    <numFmt numFmtId="168" formatCode="yyyy"/>
    <numFmt numFmtId="169" formatCode="#,##0.000"/>
    <numFmt numFmtId="170" formatCode="#,##0.00000"/>
    <numFmt numFmtId="171" formatCode="#,##0&quot;®&quot;;\-#,##0&quot;®&quot;"/>
    <numFmt numFmtId="172" formatCode="#,##0.0"/>
    <numFmt numFmtId="173" formatCode="#,##0&quot;®&quot;_);\(#,##0&quot;®&quot;\)"/>
    <numFmt numFmtId="174" formatCode="#,##0.0000"/>
    <numFmt numFmtId="175" formatCode="_([$VND]\ * #,##0_);_([$VND]\ * \(#,##0\);_([$VND]\ * &quot;-&quot;_);_(@_)"/>
    <numFmt numFmtId="176" formatCode="0,000"/>
    <numFmt numFmtId="177" formatCode="#.##0"/>
    <numFmt numFmtId="178" formatCode="0.0%"/>
    <numFmt numFmtId="179" formatCode="0.000%"/>
    <numFmt numFmtId="180" formatCode="0.0"/>
    <numFmt numFmtId="181" formatCode="#,###.0"/>
    <numFmt numFmtId="182" formatCode="0.0&quot;%&quot;"/>
    <numFmt numFmtId="183" formatCode="0%&quot; LCB&quot;"/>
    <numFmt numFmtId="184" formatCode="0,000&quot; đ/tháng&quot;"/>
    <numFmt numFmtId="185" formatCode="0.000"/>
    <numFmt numFmtId="186" formatCode="0.0000"/>
    <numFmt numFmtId="187" formatCode="&quot;&lt;=&quot;0"/>
    <numFmt numFmtId="188" formatCode="&quot;&gt;=&quot;0"/>
    <numFmt numFmtId="189" formatCode="#,##0&quot; đồng&quot;"/>
    <numFmt numFmtId="190" formatCode="#,##0.000;[Red]#,##0.000"/>
    <numFmt numFmtId="191" formatCode="#,##0;[Red]#,##0"/>
    <numFmt numFmtId="192" formatCode="_-* #,##0_-;\-* #,##0_-;_-* &quot;-&quot;_-;_-@_-"/>
    <numFmt numFmtId="193" formatCode="_-* #,##0.00_-;\-* #,##0.00_-;_-* &quot;-&quot;??_-;_-@_-"/>
    <numFmt numFmtId="194" formatCode="0.0000%"/>
    <numFmt numFmtId="195" formatCode="_ * #,##0_ ;_ * \-#,##0_ ;_ * &quot;-&quot;_ ;_ @_ "/>
    <numFmt numFmtId="196" formatCode="_ * #,##0.00_ ;_ * \-#,##0.00_ ;_ * &quot;-&quot;??_ ;_ @_ "/>
    <numFmt numFmtId="197" formatCode="_-&quot;$&quot;* #,##0_-;\-&quot;$&quot;* #,##0_-;_-&quot;$&quot;* &quot;-&quot;_-;_-@_-"/>
    <numFmt numFmtId="198" formatCode="_-&quot;$&quot;* #,##0.00_-;\-&quot;$&quot;* #,##0.00_-;_-&quot;$&quot;* &quot;-&quot;??_-;_-@_-"/>
    <numFmt numFmtId="199" formatCode="#,##0\ &quot;$&quot;_);[Red]\(#,##0\ &quot;$&quot;\)"/>
    <numFmt numFmtId="200" formatCode="_-* #,##0.00\ _D_M_-;\-* #,##0.00\ _D_M_-;_-* &quot;-&quot;??\ _D_M_-;_-@_-"/>
    <numFmt numFmtId="201" formatCode="#,##0.0;[Red]#,##0.0"/>
    <numFmt numFmtId="202" formatCode="0.000000000"/>
    <numFmt numFmtId="203" formatCode="_-* #,##0\ &quot;DM&quot;_-;\-* #,##0\ &quot;DM&quot;_-;_-* &quot;-&quot;\ &quot;DM&quot;_-;_-@_-"/>
    <numFmt numFmtId="204" formatCode="_-* #,##0\ _D_M_-;\-* #,##0\ _D_M_-;_-* &quot;-&quot;\ _D_M_-;_-@_-"/>
    <numFmt numFmtId="205" formatCode="_-* #,##0.00\ &quot;DM&quot;_-;\-* #,##0.00\ &quot;DM&quot;_-;_-* &quot;-&quot;??\ &quot;DM&quot;_-;_-@_-"/>
    <numFmt numFmtId="206" formatCode="\$#,##0\ ;\(\$#,##0\)"/>
    <numFmt numFmtId="207" formatCode="&quot;$&quot;#,##0"/>
    <numFmt numFmtId="208" formatCode="0.00_)"/>
    <numFmt numFmtId="209" formatCode="&quot;\&quot;#,##0;[Red]&quot;\&quot;&quot;\&quot;\-#,##0"/>
    <numFmt numFmtId="210" formatCode="#,##0\ &quot;F&quot;;\-#,##0\ &quot;F&quot;"/>
    <numFmt numFmtId="211" formatCode="_-* #,##0\ _F_-;\-* #,##0\ _F_-;_-* &quot;-&quot;\ _F_-;_-@_-"/>
    <numFmt numFmtId="212" formatCode="#."/>
    <numFmt numFmtId="213" formatCode="&quot;$&quot;###,0&quot;.&quot;00_);[Red]\(&quot;$&quot;###,0&quot;.&quot;00\)"/>
    <numFmt numFmtId="214" formatCode="_-* #,##0.0\ _F_-;\-* #,##0.0\ _F_-;_-* &quot;-&quot;??\ _F_-;_-@_-"/>
    <numFmt numFmtId="215" formatCode="#,###,###.00"/>
    <numFmt numFmtId="216" formatCode="#,###,###,###.00"/>
    <numFmt numFmtId="217" formatCode="m/d"/>
    <numFmt numFmtId="218" formatCode="&quot;ß&quot;#,##0;\-&quot;&quot;\ß&quot;&quot;#,##0"/>
    <numFmt numFmtId="219" formatCode="\t0.00%"/>
    <numFmt numFmtId="220" formatCode="\t#\ ??/??"/>
    <numFmt numFmtId="221" formatCode="#,##0;\(#,##0\)"/>
    <numFmt numFmtId="222" formatCode="_(* #,##0.0_);_(* \(#,##0.0\);_(* &quot;-&quot;??_);_(@_)"/>
    <numFmt numFmtId="223" formatCode="_(* #,##0_);_(* \(#,##0\);_(* &quot;-&quot;??_);_(@_)"/>
    <numFmt numFmtId="224" formatCode="_(* #,##0.000_);_(* \(#,##0.000\);_(* &quot;-&quot;??_);_(@_)"/>
  </numFmts>
  <fonts count="105">
    <font>
      <sz val="11"/>
      <name val="Times New Roman"/>
      <family val="0"/>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8"/>
      <color indexed="36"/>
      <name val=".VnTime"/>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8"/>
      <color indexed="12"/>
      <name val=".VnTime"/>
      <family val="2"/>
    </font>
    <font>
      <sz val="10"/>
      <color indexed="62"/>
      <name val="Arial"/>
      <family val="2"/>
    </font>
    <font>
      <sz val="10"/>
      <color indexed="10"/>
      <name val="Arial"/>
      <family val="2"/>
    </font>
    <font>
      <sz val="10"/>
      <color indexed="19"/>
      <name val="Arial"/>
      <family val="2"/>
    </font>
    <font>
      <sz val="12"/>
      <name val=".VnTime"/>
      <family val="2"/>
    </font>
    <font>
      <b/>
      <sz val="10"/>
      <color indexed="63"/>
      <name val="Arial"/>
      <family val="2"/>
    </font>
    <font>
      <b/>
      <sz val="18"/>
      <color indexed="62"/>
      <name val="Cambria"/>
      <family val="2"/>
    </font>
    <font>
      <b/>
      <sz val="10"/>
      <color indexed="8"/>
      <name val="Arial"/>
      <family val="2"/>
    </font>
    <font>
      <sz val="12"/>
      <name val="Times New Roman"/>
      <family val="1"/>
    </font>
    <font>
      <b/>
      <sz val="12"/>
      <name val="Times New Roman"/>
      <family val="1"/>
    </font>
    <font>
      <i/>
      <sz val="12"/>
      <name val="Times New Roman"/>
      <family val="1"/>
    </font>
    <font>
      <sz val="13"/>
      <name val="Times New Roman"/>
      <family val="1"/>
    </font>
    <font>
      <b/>
      <sz val="13"/>
      <name val="Times New Roman"/>
      <family val="1"/>
    </font>
    <font>
      <b/>
      <u val="single"/>
      <sz val="12"/>
      <name val="Times New Roman"/>
      <family val="1"/>
    </font>
    <font>
      <b/>
      <i/>
      <sz val="12"/>
      <name val="Times New Roman"/>
      <family val="1"/>
    </font>
    <font>
      <sz val="8"/>
      <name val="Times New Roman"/>
      <family val="1"/>
    </font>
    <font>
      <sz val="10"/>
      <name val="Times New Roman"/>
      <family val="1"/>
    </font>
    <font>
      <sz val="14"/>
      <name val="Times New Roman"/>
      <family val="1"/>
    </font>
    <font>
      <b/>
      <sz val="12"/>
      <color indexed="8"/>
      <name val="Times New Roman"/>
      <family val="1"/>
    </font>
    <font>
      <sz val="12"/>
      <color indexed="8"/>
      <name val="Times New Roman"/>
      <family val="1"/>
    </font>
    <font>
      <b/>
      <sz val="12"/>
      <color indexed="16"/>
      <name val="Times New Roman"/>
      <family val="1"/>
    </font>
    <font>
      <b/>
      <sz val="16"/>
      <name val="Verdana"/>
      <family val="2"/>
    </font>
    <font>
      <b/>
      <sz val="12"/>
      <name val="Verdana"/>
      <family val="2"/>
    </font>
    <font>
      <vertAlign val="superscript"/>
      <sz val="12"/>
      <name val="Times New Roman"/>
      <family val="1"/>
    </font>
    <font>
      <sz val="12"/>
      <color indexed="9"/>
      <name val="Times New Roman"/>
      <family val="1"/>
    </font>
    <font>
      <b/>
      <sz val="16"/>
      <name val="Times New Roman"/>
      <family val="1"/>
    </font>
    <font>
      <i/>
      <sz val="11"/>
      <name val="Times New Roman"/>
      <family val="1"/>
    </font>
    <font>
      <b/>
      <sz val="8"/>
      <name val="Tahoma"/>
      <family val="2"/>
    </font>
    <font>
      <b/>
      <sz val="16"/>
      <color indexed="60"/>
      <name val="Verdana"/>
      <family val="2"/>
    </font>
    <font>
      <b/>
      <sz val="14"/>
      <color indexed="12"/>
      <name val="Times New Roman"/>
      <family val="1"/>
    </font>
    <font>
      <b/>
      <sz val="12"/>
      <color indexed="12"/>
      <name val="Times New Roman"/>
      <family val="1"/>
    </font>
    <font>
      <b/>
      <sz val="9"/>
      <color indexed="16"/>
      <name val="Arial"/>
      <family val="2"/>
    </font>
    <font>
      <b/>
      <sz val="12"/>
      <color indexed="10"/>
      <name val="Times New Roman"/>
      <family val="1"/>
    </font>
    <font>
      <b/>
      <sz val="18"/>
      <name val="Times New Roman"/>
      <family val="1"/>
    </font>
    <font>
      <sz val="12"/>
      <name val=".VnArial Narrow"/>
      <family val="2"/>
    </font>
    <font>
      <sz val="12"/>
      <name val="Arial"/>
      <family val="2"/>
    </font>
    <font>
      <sz val="11"/>
      <name val=".VnTime"/>
      <family val="2"/>
    </font>
    <font>
      <sz val="12"/>
      <color indexed="16"/>
      <name val="Arial"/>
      <family val="2"/>
    </font>
    <font>
      <u val="single"/>
      <sz val="14"/>
      <color indexed="12"/>
      <name val="Times New Roman"/>
      <family val="1"/>
    </font>
    <font>
      <sz val="14"/>
      <name val=".VnTime"/>
      <family val="2"/>
    </font>
    <font>
      <sz val="12"/>
      <color indexed="16"/>
      <name val="Times New Roman"/>
      <family val="1"/>
    </font>
    <font>
      <sz val="13"/>
      <color indexed="16"/>
      <name val="Times New Roman"/>
      <family val="1"/>
    </font>
    <font>
      <b/>
      <sz val="11"/>
      <color indexed="10"/>
      <name val="Arial"/>
      <family val="2"/>
    </font>
    <font>
      <sz val="11"/>
      <name val="Arial"/>
      <family val="2"/>
    </font>
    <font>
      <sz val="10"/>
      <name val="Arial"/>
      <family val="2"/>
    </font>
    <font>
      <sz val="10"/>
      <name val=".VnTime"/>
      <family val="2"/>
    </font>
    <font>
      <sz val="14"/>
      <name val="??"/>
      <family val="3"/>
    </font>
    <font>
      <sz val="12"/>
      <name val="????"/>
      <family val="0"/>
    </font>
    <font>
      <sz val="11"/>
      <name val="??"/>
      <family val="3"/>
    </font>
    <font>
      <sz val="10"/>
      <name val="???"/>
      <family val="3"/>
    </font>
    <font>
      <sz val="10"/>
      <name val="Helv"/>
      <family val="2"/>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2"/>
      <name val="¹UAAA¼"/>
      <family val="3"/>
    </font>
    <font>
      <sz val="11"/>
      <name val="µ¸¿ò"/>
      <family val="0"/>
    </font>
    <font>
      <sz val="12"/>
      <name val="µ¸¿òÃ¼"/>
      <family val="3"/>
    </font>
    <font>
      <b/>
      <sz val="10"/>
      <name val="Helv"/>
      <family val="0"/>
    </font>
    <font>
      <b/>
      <sz val="10"/>
      <name val="Arial"/>
      <family val="2"/>
    </font>
    <font>
      <sz val="8"/>
      <name val="Arial"/>
      <family val="2"/>
    </font>
    <font>
      <b/>
      <sz val="12"/>
      <name val="Helv"/>
      <family val="0"/>
    </font>
    <font>
      <b/>
      <sz val="12"/>
      <name val="Arial"/>
      <family val="2"/>
    </font>
    <font>
      <b/>
      <sz val="1"/>
      <color indexed="8"/>
      <name val="Courier"/>
      <family val="3"/>
    </font>
    <font>
      <sz val="10"/>
      <name val="MS Sans Serif"/>
      <family val="2"/>
    </font>
    <font>
      <b/>
      <sz val="11"/>
      <name val="Helv"/>
      <family val="0"/>
    </font>
    <font>
      <sz val="10"/>
      <name val=".VnAvant"/>
      <family val="2"/>
    </font>
    <font>
      <sz val="7"/>
      <name val="Small Fonts"/>
      <family val="2"/>
    </font>
    <font>
      <b/>
      <i/>
      <sz val="16"/>
      <name val="Helv"/>
      <family val="0"/>
    </font>
    <font>
      <sz val="11"/>
      <name val="–¾’©"/>
      <family val="1"/>
    </font>
    <font>
      <sz val="13"/>
      <name val=".VnTime"/>
      <family val="2"/>
    </font>
    <font>
      <i/>
      <sz val="10"/>
      <name val="MS Sans Serif"/>
      <family val="2"/>
    </font>
    <font>
      <sz val="11"/>
      <color indexed="32"/>
      <name val="VNI-Times"/>
      <family val="0"/>
    </font>
    <font>
      <sz val="10"/>
      <name val=" "/>
      <family val="1"/>
    </font>
    <font>
      <sz val="14"/>
      <name val="뼻뮝"/>
      <family val="3"/>
    </font>
    <font>
      <sz val="12"/>
      <name val="바탕체"/>
      <family val="3"/>
    </font>
    <font>
      <sz val="12"/>
      <name val="뼻뮝"/>
      <family val="3"/>
    </font>
    <font>
      <sz val="10"/>
      <name val=".VnArial"/>
      <family val="2"/>
    </font>
    <font>
      <sz val="10"/>
      <name val="굴림체"/>
      <family val="3"/>
    </font>
    <font>
      <sz val="9"/>
      <name val="Arial"/>
      <family val="2"/>
    </font>
    <font>
      <sz val="12"/>
      <name val="Courier"/>
      <family val="3"/>
    </font>
    <font>
      <u val="single"/>
      <sz val="12"/>
      <color indexed="8"/>
      <name val="Times New Roman"/>
      <family val="1"/>
    </font>
    <font>
      <b/>
      <sz val="14"/>
      <name val=".VnTime"/>
      <family val="2"/>
    </font>
    <font>
      <sz val="8"/>
      <name val=".VnTime"/>
      <family val="2"/>
    </font>
    <font>
      <sz val="9"/>
      <name val="Tahoma"/>
      <family val="2"/>
    </font>
    <font>
      <b/>
      <sz val="14"/>
      <name val="Times New Roman"/>
      <family val="1"/>
    </font>
    <font>
      <b/>
      <sz val="20"/>
      <name val="Times New Roman"/>
      <family val="1"/>
    </font>
    <font>
      <i/>
      <sz val="14"/>
      <name val="Times New Roman"/>
      <family val="1"/>
    </font>
    <font>
      <b/>
      <sz val="11"/>
      <name val="Times New Roman"/>
      <family val="1"/>
    </font>
    <font>
      <b/>
      <vertAlign val="subscript"/>
      <sz val="11"/>
      <name val="Times New Roman"/>
      <family val="1"/>
    </font>
    <font>
      <sz val="8"/>
      <name val="Tahoma"/>
      <family val="2"/>
    </font>
    <font>
      <b/>
      <sz val="8"/>
      <name val="Times New Roman"/>
      <family val="2"/>
    </font>
  </fonts>
  <fills count="22">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1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double"/>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indexed="56"/>
      </top>
      <bottom style="double">
        <color indexed="56"/>
      </bottom>
    </border>
    <border>
      <left style="thin"/>
      <right style="thin"/>
      <top style="hair"/>
      <bottom style="hair"/>
    </border>
    <border>
      <left style="thin"/>
      <right style="thin"/>
      <top style="hair"/>
      <bottom style="thin"/>
    </border>
    <border>
      <left/>
      <right style="thin"/>
      <top style="thin"/>
      <bottom style="thin"/>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color indexed="63"/>
      </left>
      <right>
        <color indexed="63"/>
      </right>
      <top style="hair"/>
      <bottom style="hair"/>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style="thin"/>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176">
    <xf numFmtId="0" fontId="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84" fillId="0" borderId="0" applyNumberFormat="0" applyFill="0" applyBorder="0" applyAlignment="0" applyProtection="0"/>
    <xf numFmtId="0" fontId="0"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210" fontId="51" fillId="0" borderId="0" applyFont="0" applyFill="0" applyBorder="0" applyAlignment="0" applyProtection="0"/>
    <xf numFmtId="0" fontId="58" fillId="0" borderId="0" applyFont="0" applyFill="0" applyBorder="0" applyAlignment="0" applyProtection="0"/>
    <xf numFmtId="209" fontId="56"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192" fontId="59" fillId="0" borderId="0" applyFont="0" applyFill="0" applyBorder="0" applyAlignment="0" applyProtection="0"/>
    <xf numFmtId="9" fontId="60" fillId="0" borderId="0" applyFont="0" applyFill="0" applyBorder="0" applyAlignment="0" applyProtection="0"/>
    <xf numFmtId="0" fontId="61" fillId="0" borderId="0">
      <alignment/>
      <protection/>
    </xf>
    <xf numFmtId="0" fontId="62" fillId="0" borderId="0">
      <alignment/>
      <protection/>
    </xf>
    <xf numFmtId="0" fontId="56" fillId="0" borderId="0">
      <alignment/>
      <protection/>
    </xf>
    <xf numFmtId="0" fontId="56" fillId="0" borderId="0">
      <alignment/>
      <protection/>
    </xf>
    <xf numFmtId="0" fontId="63" fillId="2" borderId="0">
      <alignment/>
      <protection/>
    </xf>
    <xf numFmtId="9" fontId="64" fillId="0" borderId="0" applyFont="0" applyFill="0" applyBorder="0" applyAlignment="0" applyProtection="0"/>
    <xf numFmtId="0" fontId="65" fillId="2" borderId="0">
      <alignment/>
      <protection/>
    </xf>
    <xf numFmtId="0" fontId="16"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66" fillId="2" borderId="0">
      <alignment/>
      <protection/>
    </xf>
    <xf numFmtId="0" fontId="67" fillId="0" borderId="0">
      <alignment wrapText="1"/>
      <protection/>
    </xf>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57" fillId="0" borderId="0">
      <alignment/>
      <protection/>
    </xf>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202" fontId="16" fillId="0" borderId="0" applyFont="0" applyFill="0" applyBorder="0" applyAlignment="0" applyProtection="0"/>
    <xf numFmtId="0" fontId="68" fillId="0" borderId="0" applyFont="0" applyFill="0" applyBorder="0" applyAlignment="0" applyProtection="0"/>
    <xf numFmtId="202" fontId="16" fillId="0" borderId="0" applyFont="0" applyFill="0" applyBorder="0" applyAlignment="0" applyProtection="0"/>
    <xf numFmtId="179" fontId="16" fillId="0" borderId="0" applyFont="0" applyFill="0" applyBorder="0" applyAlignment="0" applyProtection="0"/>
    <xf numFmtId="0" fontId="68"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0" fontId="68" fillId="0" borderId="0" applyFont="0" applyFill="0" applyBorder="0" applyAlignment="0" applyProtection="0"/>
    <xf numFmtId="195" fontId="64" fillId="0" borderId="0" applyFont="0" applyFill="0" applyBorder="0" applyAlignment="0" applyProtection="0"/>
    <xf numFmtId="194" fontId="16" fillId="0" borderId="0" applyFont="0" applyFill="0" applyBorder="0" applyAlignment="0" applyProtection="0"/>
    <xf numFmtId="0" fontId="68" fillId="0" borderId="0" applyFont="0" applyFill="0" applyBorder="0" applyAlignment="0" applyProtection="0"/>
    <xf numFmtId="196" fontId="64" fillId="0" borderId="0" applyFont="0" applyFill="0" applyBorder="0" applyAlignment="0" applyProtection="0"/>
    <xf numFmtId="0" fontId="3" fillId="16" borderId="0" applyNumberFormat="0" applyBorder="0" applyAlignment="0" applyProtection="0"/>
    <xf numFmtId="0" fontId="68" fillId="0" borderId="0">
      <alignment/>
      <protection/>
    </xf>
    <xf numFmtId="0" fontId="69" fillId="0" borderId="0">
      <alignment/>
      <protection/>
    </xf>
    <xf numFmtId="0" fontId="68" fillId="0" borderId="0">
      <alignment/>
      <protection/>
    </xf>
    <xf numFmtId="0" fontId="70" fillId="0" borderId="0">
      <alignment/>
      <protection/>
    </xf>
    <xf numFmtId="0" fontId="4" fillId="17" borderId="1" applyNumberFormat="0" applyAlignment="0" applyProtection="0"/>
    <xf numFmtId="0" fontId="71" fillId="0" borderId="0">
      <alignment/>
      <protection/>
    </xf>
    <xf numFmtId="0" fontId="5"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21" fontId="28" fillId="0" borderId="0">
      <alignment/>
      <protection/>
    </xf>
    <xf numFmtId="3" fontId="5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56" fillId="0" borderId="0" applyFont="0" applyFill="0" applyBorder="0" applyAlignment="0" applyProtection="0"/>
    <xf numFmtId="219" fontId="56" fillId="0" borderId="0">
      <alignment/>
      <protection/>
    </xf>
    <xf numFmtId="185" fontId="16" fillId="0" borderId="3">
      <alignment/>
      <protection/>
    </xf>
    <xf numFmtId="0" fontId="56" fillId="0" borderId="0" applyFont="0" applyFill="0" applyBorder="0" applyAlignment="0" applyProtection="0"/>
    <xf numFmtId="204" fontId="56" fillId="0" borderId="0" applyFont="0" applyFill="0" applyBorder="0" applyAlignment="0" applyProtection="0"/>
    <xf numFmtId="200" fontId="56" fillId="0" borderId="0" applyFont="0" applyFill="0" applyBorder="0" applyAlignment="0" applyProtection="0"/>
    <xf numFmtId="220" fontId="56" fillId="0" borderId="0">
      <alignment/>
      <protection/>
    </xf>
    <xf numFmtId="3" fontId="16" fillId="0" borderId="0" applyFont="0" applyBorder="0" applyAlignment="0">
      <protection/>
    </xf>
    <xf numFmtId="0" fontId="6" fillId="0" borderId="0" applyNumberFormat="0" applyFill="0" applyBorder="0" applyAlignment="0" applyProtection="0"/>
    <xf numFmtId="3" fontId="16" fillId="0" borderId="0" applyFont="0" applyBorder="0" applyAlignment="0">
      <protection/>
    </xf>
    <xf numFmtId="2" fontId="56" fillId="0" borderId="0" applyFon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38" fontId="73" fillId="17" borderId="0" applyNumberFormat="0" applyBorder="0" applyAlignment="0" applyProtection="0"/>
    <xf numFmtId="0" fontId="74" fillId="0" borderId="0">
      <alignment horizontal="left"/>
      <protection/>
    </xf>
    <xf numFmtId="0" fontId="75" fillId="0" borderId="4" applyNumberFormat="0" applyAlignment="0" applyProtection="0"/>
    <xf numFmtId="0" fontId="75" fillId="0" borderId="5">
      <alignment horizontal="left" vertical="center"/>
      <protection/>
    </xf>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212" fontId="76" fillId="0" borderId="0">
      <alignment/>
      <protection locked="0"/>
    </xf>
    <xf numFmtId="212" fontId="76" fillId="0" borderId="0">
      <alignment/>
      <protection locked="0"/>
    </xf>
    <xf numFmtId="0" fontId="12" fillId="0" borderId="0" applyNumberFormat="0" applyFill="0" applyBorder="0" applyAlignment="0" applyProtection="0"/>
    <xf numFmtId="0" fontId="13" fillId="8" borderId="1" applyNumberFormat="0" applyAlignment="0" applyProtection="0"/>
    <xf numFmtId="10" fontId="73" fillId="17" borderId="9" applyNumberFormat="0" applyBorder="0" applyAlignment="0" applyProtection="0"/>
    <xf numFmtId="0" fontId="14" fillId="0" borderId="10" applyNumberFormat="0" applyFill="0" applyAlignment="0" applyProtection="0"/>
    <xf numFmtId="38" fontId="77" fillId="0" borderId="0" applyFont="0" applyFill="0" applyBorder="0" applyAlignment="0" applyProtection="0"/>
    <xf numFmtId="40" fontId="77" fillId="0" borderId="0" applyFont="0" applyFill="0" applyBorder="0" applyAlignment="0" applyProtection="0"/>
    <xf numFmtId="0" fontId="78" fillId="0" borderId="11">
      <alignment/>
      <protection/>
    </xf>
    <xf numFmtId="164" fontId="79" fillId="0" borderId="12">
      <alignment/>
      <protection/>
    </xf>
    <xf numFmtId="199" fontId="77" fillId="0" borderId="0" applyFont="0" applyFill="0" applyBorder="0" applyAlignment="0" applyProtection="0"/>
    <xf numFmtId="213" fontId="77" fillId="0" borderId="0" applyFont="0" applyFill="0" applyBorder="0" applyAlignment="0" applyProtection="0"/>
    <xf numFmtId="217" fontId="56" fillId="0" borderId="0" applyFont="0" applyFill="0" applyBorder="0" applyAlignment="0" applyProtection="0"/>
    <xf numFmtId="218" fontId="56" fillId="0" borderId="0" applyFont="0" applyFill="0" applyBorder="0" applyAlignment="0" applyProtection="0"/>
    <xf numFmtId="0" fontId="47" fillId="0" borderId="0" applyNumberFormat="0" applyFont="0" applyFill="0" applyAlignment="0">
      <protection/>
    </xf>
    <xf numFmtId="0" fontId="15" fillId="8" borderId="0" applyNumberFormat="0" applyBorder="0" applyAlignment="0" applyProtection="0"/>
    <xf numFmtId="0" fontId="28" fillId="0" borderId="0">
      <alignment/>
      <protection/>
    </xf>
    <xf numFmtId="37" fontId="80" fillId="0" borderId="0">
      <alignment/>
      <protection/>
    </xf>
    <xf numFmtId="208" fontId="81" fillId="0" borderId="0">
      <alignment/>
      <protection/>
    </xf>
    <xf numFmtId="0" fontId="56" fillId="0" borderId="0">
      <alignment/>
      <protection/>
    </xf>
    <xf numFmtId="0" fontId="16" fillId="0" borderId="0">
      <alignment/>
      <protection/>
    </xf>
    <xf numFmtId="0" fontId="47" fillId="0" borderId="0">
      <alignment/>
      <protection/>
    </xf>
    <xf numFmtId="0" fontId="16" fillId="0" borderId="0">
      <alignment/>
      <protection/>
    </xf>
    <xf numFmtId="0" fontId="48" fillId="0" borderId="0">
      <alignment/>
      <protection/>
    </xf>
    <xf numFmtId="0" fontId="16" fillId="0" borderId="0">
      <alignment/>
      <protection/>
    </xf>
    <xf numFmtId="0" fontId="16" fillId="0" borderId="0">
      <alignment/>
      <protection/>
    </xf>
    <xf numFmtId="0" fontId="16" fillId="5" borderId="13" applyNumberFormat="0" applyFont="0" applyAlignment="0" applyProtection="0"/>
    <xf numFmtId="193" fontId="82" fillId="0" borderId="0" applyFont="0" applyFill="0" applyBorder="0" applyAlignment="0" applyProtection="0"/>
    <xf numFmtId="192" fontId="82" fillId="0" borderId="0" applyFont="0" applyFill="0" applyBorder="0" applyAlignment="0" applyProtection="0"/>
    <xf numFmtId="0" fontId="83" fillId="0" borderId="0" applyNumberFormat="0" applyFill="0" applyBorder="0" applyAlignment="0" applyProtection="0"/>
    <xf numFmtId="0" fontId="16" fillId="0" borderId="0" applyNumberFormat="0" applyFill="0" applyBorder="0" applyAlignment="0" applyProtection="0"/>
    <xf numFmtId="0" fontId="56" fillId="0" borderId="0" applyFont="0" applyFill="0" applyBorder="0" applyAlignment="0" applyProtection="0"/>
    <xf numFmtId="0" fontId="28" fillId="0" borderId="0">
      <alignment/>
      <protection/>
    </xf>
    <xf numFmtId="0" fontId="17" fillId="17" borderId="14" applyNumberFormat="0" applyAlignment="0" applyProtection="0"/>
    <xf numFmtId="9" fontId="0" fillId="0" borderId="0" applyFont="0" applyFill="0" applyBorder="0" applyAlignment="0" applyProtection="0"/>
    <xf numFmtId="10" fontId="56" fillId="0" borderId="0" applyFont="0" applyFill="0" applyBorder="0" applyAlignment="0" applyProtection="0"/>
    <xf numFmtId="0" fontId="16" fillId="0" borderId="0" applyNumberFormat="0" applyFill="0" applyBorder="0" applyAlignment="0" applyProtection="0"/>
    <xf numFmtId="0" fontId="57" fillId="0" borderId="0" applyNumberFormat="0" applyFill="0" applyBorder="0" applyAlignment="0" applyProtection="0"/>
    <xf numFmtId="0" fontId="85" fillId="0" borderId="0">
      <alignment/>
      <protection/>
    </xf>
    <xf numFmtId="0" fontId="78" fillId="0" borderId="0">
      <alignment/>
      <protection/>
    </xf>
    <xf numFmtId="214" fontId="16" fillId="0" borderId="15">
      <alignment horizontal="right" vertical="center"/>
      <protection/>
    </xf>
    <xf numFmtId="211" fontId="16" fillId="0" borderId="15">
      <alignment horizontal="center"/>
      <protection/>
    </xf>
    <xf numFmtId="0" fontId="83"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215" fontId="16" fillId="0" borderId="0">
      <alignment/>
      <protection/>
    </xf>
    <xf numFmtId="216" fontId="16" fillId="0" borderId="9">
      <alignment/>
      <protection/>
    </xf>
    <xf numFmtId="203" fontId="56" fillId="0" borderId="0" applyFont="0" applyFill="0" applyBorder="0" applyAlignment="0" applyProtection="0"/>
    <xf numFmtId="205" fontId="56" fillId="0" borderId="0" applyFont="0" applyFill="0" applyBorder="0" applyAlignment="0" applyProtection="0"/>
    <xf numFmtId="0" fontId="14" fillId="0" borderId="0" applyNumberForma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20" fillId="0" borderId="0">
      <alignment vertical="center"/>
      <protection/>
    </xf>
    <xf numFmtId="40" fontId="87" fillId="0" borderId="0" applyFont="0" applyFill="0" applyBorder="0" applyAlignment="0" applyProtection="0"/>
    <xf numFmtId="38"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9" fontId="88" fillId="0" borderId="0" applyFont="0" applyFill="0" applyBorder="0" applyAlignment="0" applyProtection="0"/>
    <xf numFmtId="0" fontId="89" fillId="0" borderId="0">
      <alignment/>
      <protection/>
    </xf>
    <xf numFmtId="0" fontId="88" fillId="0" borderId="0" applyFont="0" applyFill="0" applyBorder="0" applyAlignment="0" applyProtection="0"/>
    <xf numFmtId="0" fontId="88" fillId="0" borderId="0" applyFont="0" applyFill="0" applyBorder="0" applyAlignment="0" applyProtection="0"/>
    <xf numFmtId="207" fontId="90" fillId="0" borderId="0" applyFont="0" applyFill="0" applyBorder="0" applyAlignment="0" applyProtection="0"/>
    <xf numFmtId="201" fontId="90" fillId="0" borderId="0" applyFont="0" applyFill="0" applyBorder="0" applyAlignment="0" applyProtection="0"/>
    <xf numFmtId="0" fontId="91" fillId="0" borderId="0">
      <alignment/>
      <protection/>
    </xf>
    <xf numFmtId="0" fontId="47" fillId="0" borderId="0">
      <alignment/>
      <protection/>
    </xf>
    <xf numFmtId="192" fontId="92" fillId="0" borderId="0" applyFont="0" applyFill="0" applyBorder="0" applyAlignment="0" applyProtection="0"/>
    <xf numFmtId="193" fontId="92" fillId="0" borderId="0" applyFont="0" applyFill="0" applyBorder="0" applyAlignment="0" applyProtection="0"/>
    <xf numFmtId="197" fontId="92" fillId="0" borderId="0" applyFont="0" applyFill="0" applyBorder="0" applyAlignment="0" applyProtection="0"/>
    <xf numFmtId="199" fontId="93" fillId="0" borderId="0" applyFont="0" applyFill="0" applyBorder="0" applyAlignment="0" applyProtection="0"/>
    <xf numFmtId="198" fontId="92" fillId="0" borderId="0" applyFont="0" applyFill="0" applyBorder="0" applyAlignment="0" applyProtection="0"/>
  </cellStyleXfs>
  <cellXfs count="388">
    <xf numFmtId="0" fontId="0" fillId="0" borderId="0" xfId="0" applyAlignment="1">
      <alignment/>
    </xf>
    <xf numFmtId="0" fontId="20" fillId="0" borderId="0" xfId="127" applyFont="1">
      <alignment/>
      <protection/>
    </xf>
    <xf numFmtId="0" fontId="20" fillId="0" borderId="0" xfId="127" applyFont="1" applyAlignment="1">
      <alignment vertical="center"/>
      <protection/>
    </xf>
    <xf numFmtId="0" fontId="34" fillId="0" borderId="0" xfId="127" applyFont="1" applyAlignment="1">
      <alignment vertical="center"/>
      <protection/>
    </xf>
    <xf numFmtId="0" fontId="20" fillId="0" borderId="9" xfId="129" applyFont="1" applyBorder="1" applyAlignment="1">
      <alignment horizontal="center" vertical="center"/>
      <protection/>
    </xf>
    <xf numFmtId="0" fontId="20" fillId="0" borderId="9" xfId="129" applyFont="1" applyFill="1" applyBorder="1" applyAlignment="1">
      <alignment horizontal="center" vertical="center"/>
      <protection/>
    </xf>
    <xf numFmtId="0" fontId="20" fillId="0" borderId="0" xfId="127" applyNumberFormat="1" applyFont="1">
      <alignment/>
      <protection/>
    </xf>
    <xf numFmtId="0" fontId="0" fillId="0" borderId="0" xfId="127" applyFont="1" applyFill="1">
      <alignment/>
      <protection/>
    </xf>
    <xf numFmtId="0" fontId="0" fillId="0" borderId="0" xfId="0" applyFont="1" applyFill="1" applyAlignment="1">
      <alignment/>
    </xf>
    <xf numFmtId="3" fontId="0" fillId="0" borderId="0" xfId="0" applyNumberFormat="1" applyFont="1" applyFill="1" applyAlignment="1">
      <alignment/>
    </xf>
    <xf numFmtId="165" fontId="20" fillId="0" borderId="0" xfId="127" applyNumberFormat="1" applyFont="1">
      <alignment/>
      <protection/>
    </xf>
    <xf numFmtId="0" fontId="20" fillId="0" borderId="0" xfId="127" applyNumberFormat="1" applyFont="1" quotePrefix="1">
      <alignment/>
      <protection/>
    </xf>
    <xf numFmtId="0" fontId="20" fillId="0" borderId="0" xfId="127" applyNumberFormat="1" applyFont="1" applyFill="1">
      <alignment/>
      <protection/>
    </xf>
    <xf numFmtId="0" fontId="40" fillId="0" borderId="0" xfId="127" applyFont="1" applyAlignment="1" applyProtection="1">
      <alignment horizontal="centerContinuous" vertical="center"/>
      <protection locked="0"/>
    </xf>
    <xf numFmtId="0" fontId="41" fillId="0" borderId="0" xfId="127" applyFont="1" applyAlignment="1">
      <alignment horizontal="centerContinuous" vertical="center"/>
      <protection/>
    </xf>
    <xf numFmtId="0" fontId="42" fillId="0" borderId="0" xfId="127" applyFont="1" applyBorder="1">
      <alignment/>
      <protection/>
    </xf>
    <xf numFmtId="0" fontId="20" fillId="0" borderId="17" xfId="127" applyFont="1" applyBorder="1" applyAlignment="1">
      <alignment horizontal="center" vertical="center"/>
      <protection/>
    </xf>
    <xf numFmtId="0" fontId="20" fillId="0" borderId="17" xfId="127" applyNumberFormat="1" applyFont="1" applyBorder="1" applyAlignment="1">
      <alignment vertical="center"/>
      <protection/>
    </xf>
    <xf numFmtId="0" fontId="20" fillId="0" borderId="18" xfId="127" applyFont="1" applyBorder="1" applyAlignment="1">
      <alignment vertical="center"/>
      <protection/>
    </xf>
    <xf numFmtId="0" fontId="0" fillId="0" borderId="0" xfId="0" applyFill="1" applyAlignment="1">
      <alignment vertical="center"/>
    </xf>
    <xf numFmtId="0" fontId="0" fillId="0" borderId="0" xfId="0" applyFill="1" applyAlignment="1">
      <alignment horizontal="centerContinuous" vertical="center"/>
    </xf>
    <xf numFmtId="165" fontId="36" fillId="0" borderId="0" xfId="127" applyNumberFormat="1" applyFont="1" applyAlignment="1">
      <alignment/>
      <protection/>
    </xf>
    <xf numFmtId="0" fontId="20" fillId="0" borderId="18" xfId="127" applyFont="1" applyBorder="1" applyAlignment="1">
      <alignment horizontal="center" vertical="center"/>
      <protection/>
    </xf>
    <xf numFmtId="0" fontId="32" fillId="6" borderId="15" xfId="127" applyFont="1" applyFill="1" applyBorder="1" applyAlignment="1">
      <alignment vertical="center"/>
      <protection/>
    </xf>
    <xf numFmtId="0" fontId="32" fillId="6" borderId="5" xfId="127" applyNumberFormat="1" applyFont="1" applyFill="1" applyBorder="1" applyAlignment="1">
      <alignment vertical="center"/>
      <protection/>
    </xf>
    <xf numFmtId="0" fontId="32" fillId="6" borderId="19" xfId="127" applyNumberFormat="1" applyFont="1" applyFill="1" applyBorder="1" applyAlignment="1">
      <alignment horizontal="center" vertical="center"/>
      <protection/>
    </xf>
    <xf numFmtId="0" fontId="20" fillId="0" borderId="12" xfId="127" applyFont="1" applyBorder="1" applyAlignment="1">
      <alignment horizontal="center" vertical="center"/>
      <protection/>
    </xf>
    <xf numFmtId="0" fontId="20" fillId="0" borderId="12" xfId="127" applyNumberFormat="1" applyFont="1" applyBorder="1" applyAlignment="1">
      <alignment vertical="center"/>
      <protection/>
    </xf>
    <xf numFmtId="0" fontId="20" fillId="0" borderId="12" xfId="127" applyNumberFormat="1" applyFont="1" applyBorder="1" applyAlignment="1">
      <alignment horizontal="center" vertical="center"/>
      <protection/>
    </xf>
    <xf numFmtId="0" fontId="45" fillId="0" borderId="0" xfId="127" applyNumberFormat="1" applyFont="1" applyAlignment="1">
      <alignment horizontal="centerContinuous" vertical="center"/>
      <protection/>
    </xf>
    <xf numFmtId="165" fontId="36" fillId="19" borderId="0" xfId="127" applyNumberFormat="1" applyFont="1" applyFill="1" applyAlignment="1">
      <alignment horizontal="left"/>
      <protection/>
    </xf>
    <xf numFmtId="0" fontId="20" fillId="0" borderId="1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9" xfId="127" applyNumberFormat="1" applyFont="1" applyBorder="1">
      <alignment/>
      <protection/>
    </xf>
    <xf numFmtId="0" fontId="21" fillId="20" borderId="9" xfId="0" applyFont="1" applyFill="1" applyBorder="1" applyAlignment="1">
      <alignment horizontal="center"/>
    </xf>
    <xf numFmtId="0" fontId="20" fillId="0" borderId="0" xfId="127" applyNumberFormat="1" applyFont="1" applyFill="1" applyAlignment="1">
      <alignment horizontal="center"/>
      <protection/>
    </xf>
    <xf numFmtId="0" fontId="20" fillId="0" borderId="0" xfId="127" applyNumberFormat="1" applyFont="1" applyAlignment="1">
      <alignment horizontal="center"/>
      <protection/>
    </xf>
    <xf numFmtId="0" fontId="20" fillId="0" borderId="9" xfId="127" applyNumberFormat="1" applyFont="1" applyFill="1" applyBorder="1" applyAlignment="1">
      <alignment horizontal="center"/>
      <protection/>
    </xf>
    <xf numFmtId="0" fontId="21" fillId="0" borderId="9" xfId="127" applyNumberFormat="1" applyFont="1" applyFill="1" applyBorder="1">
      <alignment/>
      <protection/>
    </xf>
    <xf numFmtId="0" fontId="20" fillId="0" borderId="15" xfId="129" applyFont="1" applyBorder="1" applyAlignment="1">
      <alignment horizontal="centerContinuous" vertical="center"/>
      <protection/>
    </xf>
    <xf numFmtId="0" fontId="20" fillId="0" borderId="19" xfId="129" applyFont="1" applyBorder="1" applyAlignment="1">
      <alignment horizontal="centerContinuous" vertical="center"/>
      <protection/>
    </xf>
    <xf numFmtId="0" fontId="20" fillId="0" borderId="0" xfId="127" applyFont="1" applyAlignment="1">
      <alignment horizontal="centerContinuous"/>
      <protection/>
    </xf>
    <xf numFmtId="0" fontId="21" fillId="0" borderId="9" xfId="129" applyFont="1" applyBorder="1" applyAlignment="1">
      <alignment vertical="center"/>
      <protection/>
    </xf>
    <xf numFmtId="0" fontId="20" fillId="0" borderId="17" xfId="127" applyNumberFormat="1" applyFont="1" applyFill="1" applyBorder="1" applyAlignment="1">
      <alignment horizontal="center" vertical="center"/>
      <protection/>
    </xf>
    <xf numFmtId="0" fontId="21" fillId="0" borderId="0" xfId="127" applyNumberFormat="1" applyFont="1" applyFill="1" applyAlignment="1">
      <alignment horizontal="centerContinuous"/>
      <protection/>
    </xf>
    <xf numFmtId="9" fontId="20" fillId="0" borderId="9" xfId="139" applyFont="1" applyFill="1" applyBorder="1" applyAlignment="1">
      <alignment horizontal="center"/>
    </xf>
    <xf numFmtId="178" fontId="20" fillId="0" borderId="9" xfId="139" applyNumberFormat="1" applyFont="1" applyBorder="1" applyAlignment="1">
      <alignment horizontal="center" vertical="center"/>
    </xf>
    <xf numFmtId="9" fontId="20" fillId="0" borderId="9" xfId="139" applyNumberFormat="1" applyFont="1" applyBorder="1" applyAlignment="1">
      <alignment horizontal="center" vertical="center"/>
    </xf>
    <xf numFmtId="0" fontId="38" fillId="0" borderId="0" xfId="0" applyFont="1" applyFill="1" applyAlignment="1">
      <alignment vertical="center"/>
    </xf>
    <xf numFmtId="0" fontId="20" fillId="0" borderId="12" xfId="127" applyFont="1" applyFill="1" applyBorder="1" applyAlignment="1">
      <alignment vertical="center"/>
      <protection/>
    </xf>
    <xf numFmtId="180" fontId="20" fillId="0" borderId="12" xfId="127" applyNumberFormat="1" applyFont="1" applyFill="1" applyBorder="1" applyAlignment="1">
      <alignment horizontal="center" vertical="center"/>
      <protection/>
    </xf>
    <xf numFmtId="0" fontId="20" fillId="0" borderId="17" xfId="127" applyFont="1" applyFill="1" applyBorder="1" applyAlignment="1">
      <alignment vertical="center"/>
      <protection/>
    </xf>
    <xf numFmtId="180" fontId="20" fillId="0" borderId="17" xfId="127" applyNumberFormat="1" applyFont="1" applyFill="1" applyBorder="1" applyAlignment="1">
      <alignment horizontal="center" vertical="center"/>
      <protection/>
    </xf>
    <xf numFmtId="0" fontId="20" fillId="0" borderId="17" xfId="127" applyFont="1" applyFill="1" applyBorder="1" applyAlignment="1">
      <alignment horizontal="justify" vertical="center" wrapText="1"/>
      <protection/>
    </xf>
    <xf numFmtId="0" fontId="20" fillId="0" borderId="18" xfId="127" applyFont="1" applyFill="1" applyBorder="1" applyAlignment="1">
      <alignment vertical="center"/>
      <protection/>
    </xf>
    <xf numFmtId="9" fontId="46" fillId="0" borderId="17" xfId="0" applyNumberFormat="1" applyFont="1" applyFill="1" applyBorder="1" applyAlignment="1">
      <alignment horizontal="center" vertical="center"/>
    </xf>
    <xf numFmtId="182" fontId="20" fillId="0" borderId="17" xfId="139" applyNumberFormat="1" applyFont="1" applyFill="1" applyBorder="1" applyAlignment="1">
      <alignment horizontal="center" vertical="center"/>
    </xf>
    <xf numFmtId="3" fontId="0" fillId="20" borderId="9" xfId="0" applyNumberFormat="1" applyFill="1" applyBorder="1" applyAlignment="1">
      <alignment horizontal="center"/>
    </xf>
    <xf numFmtId="4" fontId="0" fillId="20" borderId="9" xfId="0" applyNumberFormat="1" applyFill="1" applyBorder="1" applyAlignment="1">
      <alignment horizontal="center"/>
    </xf>
    <xf numFmtId="0" fontId="0" fillId="20" borderId="9" xfId="0" applyNumberFormat="1" applyFill="1" applyBorder="1" applyAlignment="1">
      <alignment horizontal="center"/>
    </xf>
    <xf numFmtId="0" fontId="20" fillId="0" borderId="9" xfId="127" applyNumberFormat="1" applyFont="1" applyBorder="1" applyAlignment="1">
      <alignment horizontal="center"/>
      <protection/>
    </xf>
    <xf numFmtId="0" fontId="32" fillId="6" borderId="0" xfId="127" applyFont="1" applyFill="1" applyBorder="1" applyAlignment="1">
      <alignment horizontal="center" vertical="center"/>
      <protection/>
    </xf>
    <xf numFmtId="0" fontId="32" fillId="6" borderId="0" xfId="127" applyNumberFormat="1" applyFont="1" applyFill="1" applyBorder="1" applyAlignment="1">
      <alignment horizontal="center" vertical="center"/>
      <protection/>
    </xf>
    <xf numFmtId="0" fontId="20" fillId="0" borderId="0" xfId="127" applyFont="1" applyBorder="1">
      <alignment/>
      <protection/>
    </xf>
    <xf numFmtId="0" fontId="20" fillId="0" borderId="0" xfId="127" applyNumberFormat="1" applyFont="1" applyBorder="1">
      <alignment/>
      <protection/>
    </xf>
    <xf numFmtId="3" fontId="0" fillId="0" borderId="0" xfId="0" applyNumberFormat="1" applyFont="1" applyFill="1" applyBorder="1" applyAlignment="1">
      <alignment/>
    </xf>
    <xf numFmtId="0" fontId="20" fillId="0" borderId="0" xfId="127" applyNumberFormat="1" applyFont="1" applyFill="1" applyBorder="1">
      <alignment/>
      <protection/>
    </xf>
    <xf numFmtId="0" fontId="22" fillId="0" borderId="0" xfId="127" applyNumberFormat="1" applyFont="1" applyBorder="1">
      <alignment/>
      <protection/>
    </xf>
    <xf numFmtId="184" fontId="20" fillId="0" borderId="12" xfId="127" applyNumberFormat="1" applyFont="1" applyFill="1" applyBorder="1" applyAlignment="1">
      <alignment horizontal="center" vertical="center"/>
      <protection/>
    </xf>
    <xf numFmtId="0" fontId="20" fillId="0" borderId="0" xfId="127" applyNumberFormat="1" applyFont="1" applyAlignment="1">
      <alignment/>
      <protection/>
    </xf>
    <xf numFmtId="0" fontId="40" fillId="0" borderId="0" xfId="126" applyFont="1" applyAlignment="1">
      <alignment horizontal="centerContinuous" vertical="center"/>
      <protection/>
    </xf>
    <xf numFmtId="0" fontId="33" fillId="0" borderId="0" xfId="126" applyFont="1" applyAlignment="1">
      <alignment horizontal="centerContinuous" vertical="center"/>
      <protection/>
    </xf>
    <xf numFmtId="0" fontId="47" fillId="0" borderId="0" xfId="126">
      <alignment/>
      <protection/>
    </xf>
    <xf numFmtId="0" fontId="29" fillId="0" borderId="0" xfId="126" applyFont="1" applyAlignment="1">
      <alignment horizontal="centerContinuous" vertical="center"/>
      <protection/>
    </xf>
    <xf numFmtId="0" fontId="29" fillId="0" borderId="0" xfId="126" applyFont="1" applyAlignment="1">
      <alignment horizontal="centerContinuous" vertical="center" wrapText="1"/>
      <protection/>
    </xf>
    <xf numFmtId="164" fontId="29" fillId="0" borderId="0" xfId="126" applyNumberFormat="1" applyFont="1" applyAlignment="1">
      <alignment horizontal="centerContinuous" vertical="center"/>
      <protection/>
    </xf>
    <xf numFmtId="164" fontId="20" fillId="0" borderId="0" xfId="126" applyNumberFormat="1" applyFont="1" applyAlignment="1">
      <alignment horizontal="right" vertical="center"/>
      <protection/>
    </xf>
    <xf numFmtId="164" fontId="20" fillId="0" borderId="0" xfId="126" applyNumberFormat="1" applyFont="1" applyAlignment="1">
      <alignment horizontal="left" vertical="center"/>
      <protection/>
    </xf>
    <xf numFmtId="0" fontId="47" fillId="0" borderId="0" xfId="126" applyAlignment="1">
      <alignment horizontal="center" vertical="center"/>
      <protection/>
    </xf>
    <xf numFmtId="0" fontId="47" fillId="0" borderId="0" xfId="126" applyAlignment="1">
      <alignment vertical="center"/>
      <protection/>
    </xf>
    <xf numFmtId="0" fontId="47" fillId="0" borderId="0" xfId="126" applyAlignment="1">
      <alignment vertical="center" wrapText="1"/>
      <protection/>
    </xf>
    <xf numFmtId="164" fontId="47" fillId="0" borderId="0" xfId="126" applyNumberFormat="1" applyAlignment="1">
      <alignment vertical="center"/>
      <protection/>
    </xf>
    <xf numFmtId="0" fontId="38" fillId="0" borderId="0" xfId="126" applyFont="1" applyAlignment="1">
      <alignment horizontal="right" vertical="center"/>
      <protection/>
    </xf>
    <xf numFmtId="0" fontId="49" fillId="8" borderId="5" xfId="126" applyFont="1" applyFill="1" applyBorder="1" applyAlignment="1">
      <alignment horizontal="centerContinuous" vertical="center"/>
      <protection/>
    </xf>
    <xf numFmtId="0" fontId="49" fillId="8" borderId="19" xfId="126" applyFont="1" applyFill="1" applyBorder="1" applyAlignment="1">
      <alignment horizontal="centerContinuous" vertical="center"/>
      <protection/>
    </xf>
    <xf numFmtId="164" fontId="43" fillId="8" borderId="9" xfId="126" applyNumberFormat="1" applyFont="1" applyFill="1" applyBorder="1" applyAlignment="1">
      <alignment horizontal="center" vertical="center" wrapText="1"/>
      <protection/>
    </xf>
    <xf numFmtId="183" fontId="43" fillId="8" borderId="9" xfId="126" applyNumberFormat="1" applyFont="1" applyFill="1" applyBorder="1" applyAlignment="1">
      <alignment horizontal="center" vertical="center"/>
      <protection/>
    </xf>
    <xf numFmtId="9" fontId="20" fillId="0" borderId="20" xfId="139" applyNumberFormat="1" applyFont="1" applyBorder="1" applyAlignment="1">
      <alignment horizontal="center" vertical="center"/>
    </xf>
    <xf numFmtId="0" fontId="20" fillId="0" borderId="20" xfId="129" applyFont="1" applyFill="1" applyBorder="1" applyAlignment="1">
      <alignment horizontal="center" vertical="center"/>
      <protection/>
    </xf>
    <xf numFmtId="0" fontId="24" fillId="0" borderId="9" xfId="0" applyFont="1" applyBorder="1" applyAlignment="1">
      <alignment horizontal="center" vertical="center"/>
    </xf>
    <xf numFmtId="0" fontId="0" fillId="0" borderId="0" xfId="0" applyAlignment="1">
      <alignment horizontal="centerContinuous" vertical="center"/>
    </xf>
    <xf numFmtId="0" fontId="29" fillId="0" borderId="17" xfId="0" applyFont="1" applyBorder="1" applyAlignment="1">
      <alignment horizontal="center" vertical="center"/>
    </xf>
    <xf numFmtId="0" fontId="50" fillId="0" borderId="17" xfId="107" applyFont="1" applyBorder="1" applyAlignment="1" applyProtection="1">
      <alignment vertical="center"/>
      <protection/>
    </xf>
    <xf numFmtId="0" fontId="29" fillId="0" borderId="17" xfId="0" applyFont="1" applyBorder="1" applyAlignment="1">
      <alignment vertical="center"/>
    </xf>
    <xf numFmtId="0" fontId="29" fillId="0" borderId="18" xfId="0" applyFont="1" applyBorder="1" applyAlignment="1">
      <alignment vertical="center"/>
    </xf>
    <xf numFmtId="0" fontId="29" fillId="0" borderId="0" xfId="0" applyFont="1" applyAlignment="1">
      <alignment horizontal="centerContinuous" vertical="center"/>
    </xf>
    <xf numFmtId="0" fontId="20" fillId="0" borderId="12" xfId="127" applyNumberFormat="1" applyFont="1" applyFill="1" applyBorder="1" applyAlignment="1">
      <alignment horizontal="center"/>
      <protection/>
    </xf>
    <xf numFmtId="0" fontId="21" fillId="0" borderId="12" xfId="127" applyNumberFormat="1" applyFont="1" applyFill="1" applyBorder="1">
      <alignment/>
      <protection/>
    </xf>
    <xf numFmtId="178" fontId="20" fillId="0" borderId="12" xfId="139" applyNumberFormat="1" applyFont="1" applyFill="1" applyBorder="1" applyAlignment="1">
      <alignment horizontal="center"/>
    </xf>
    <xf numFmtId="0" fontId="20" fillId="0" borderId="17" xfId="127" applyNumberFormat="1" applyFont="1" applyFill="1" applyBorder="1" applyAlignment="1">
      <alignment horizontal="center"/>
      <protection/>
    </xf>
    <xf numFmtId="0" fontId="20" fillId="0" borderId="17" xfId="127" applyNumberFormat="1" applyFont="1" applyFill="1" applyBorder="1">
      <alignment/>
      <protection/>
    </xf>
    <xf numFmtId="178" fontId="20" fillId="0" borderId="17" xfId="139" applyNumberFormat="1" applyFont="1" applyFill="1" applyBorder="1" applyAlignment="1">
      <alignment horizontal="center"/>
    </xf>
    <xf numFmtId="9" fontId="20" fillId="0" borderId="17" xfId="139" applyFont="1" applyFill="1" applyBorder="1" applyAlignment="1">
      <alignment horizontal="center"/>
    </xf>
    <xf numFmtId="0" fontId="20" fillId="0" borderId="18" xfId="127" applyNumberFormat="1" applyFont="1" applyFill="1" applyBorder="1" applyAlignment="1">
      <alignment horizontal="center"/>
      <protection/>
    </xf>
    <xf numFmtId="0" fontId="20" fillId="0" borderId="18" xfId="127" applyNumberFormat="1" applyFont="1" applyFill="1" applyBorder="1">
      <alignment/>
      <protection/>
    </xf>
    <xf numFmtId="178" fontId="20" fillId="0" borderId="18" xfId="139" applyNumberFormat="1" applyFont="1" applyFill="1" applyBorder="1" applyAlignment="1">
      <alignment horizontal="center"/>
    </xf>
    <xf numFmtId="0" fontId="21" fillId="0" borderId="12" xfId="129" applyFont="1" applyBorder="1" applyAlignment="1">
      <alignment vertical="center"/>
      <protection/>
    </xf>
    <xf numFmtId="178" fontId="20" fillId="0" borderId="12" xfId="139" applyNumberFormat="1" applyFont="1" applyBorder="1" applyAlignment="1">
      <alignment horizontal="center" vertical="center"/>
    </xf>
    <xf numFmtId="9" fontId="20" fillId="0" borderId="17" xfId="139" applyNumberFormat="1" applyFont="1" applyBorder="1" applyAlignment="1">
      <alignment horizontal="center" vertical="center"/>
    </xf>
    <xf numFmtId="0" fontId="20" fillId="0" borderId="17" xfId="129" applyFont="1" applyFill="1" applyBorder="1" applyAlignment="1">
      <alignment vertical="center"/>
      <protection/>
    </xf>
    <xf numFmtId="178" fontId="20" fillId="0" borderId="17" xfId="139" applyNumberFormat="1" applyFont="1" applyBorder="1" applyAlignment="1" quotePrefix="1">
      <alignment horizontal="center" vertical="center"/>
    </xf>
    <xf numFmtId="0" fontId="20" fillId="0" borderId="18" xfId="129" applyFont="1" applyFill="1" applyBorder="1" applyAlignment="1">
      <alignment vertical="center"/>
      <protection/>
    </xf>
    <xf numFmtId="9" fontId="20" fillId="0" borderId="18" xfId="139" applyNumberFormat="1" applyFont="1" applyBorder="1" applyAlignment="1">
      <alignment horizontal="center" vertical="center"/>
    </xf>
    <xf numFmtId="0" fontId="20" fillId="0" borderId="21" xfId="127" applyNumberFormat="1" applyFont="1" applyFill="1" applyBorder="1" applyAlignment="1">
      <alignment horizontal="center"/>
      <protection/>
    </xf>
    <xf numFmtId="0" fontId="20" fillId="0" borderId="21" xfId="127" applyNumberFormat="1" applyFont="1" applyFill="1" applyBorder="1">
      <alignment/>
      <protection/>
    </xf>
    <xf numFmtId="9" fontId="20" fillId="0" borderId="21" xfId="139" applyFont="1" applyFill="1" applyBorder="1" applyAlignment="1">
      <alignment horizontal="center"/>
    </xf>
    <xf numFmtId="0" fontId="20" fillId="0" borderId="22" xfId="127" applyNumberFormat="1" applyFont="1" applyFill="1" applyBorder="1" applyAlignment="1">
      <alignment horizontal="center"/>
      <protection/>
    </xf>
    <xf numFmtId="0" fontId="21" fillId="0" borderId="22" xfId="127" applyNumberFormat="1" applyFont="1" applyFill="1" applyBorder="1">
      <alignment/>
      <protection/>
    </xf>
    <xf numFmtId="9" fontId="20" fillId="0" borderId="22" xfId="139" applyFont="1" applyFill="1" applyBorder="1" applyAlignment="1">
      <alignment horizontal="center"/>
    </xf>
    <xf numFmtId="9" fontId="20" fillId="0" borderId="12" xfId="139" applyFont="1" applyFill="1" applyBorder="1" applyAlignment="1">
      <alignment horizontal="center"/>
    </xf>
    <xf numFmtId="0" fontId="20" fillId="0" borderId="18" xfId="129" applyFont="1" applyBorder="1" applyAlignment="1">
      <alignment vertical="center"/>
      <protection/>
    </xf>
    <xf numFmtId="178" fontId="20" fillId="0" borderId="18" xfId="139" applyNumberFormat="1" applyFont="1" applyBorder="1" applyAlignment="1">
      <alignment horizontal="center" vertical="center"/>
    </xf>
    <xf numFmtId="0" fontId="20" fillId="0" borderId="20" xfId="129" applyFont="1" applyFill="1" applyBorder="1" applyAlignment="1">
      <alignment vertical="center"/>
      <protection/>
    </xf>
    <xf numFmtId="178" fontId="20" fillId="0" borderId="20" xfId="139" applyNumberFormat="1" applyFont="1" applyBorder="1" applyAlignment="1" quotePrefix="1">
      <alignment horizontal="center" vertical="center"/>
    </xf>
    <xf numFmtId="0" fontId="29" fillId="0" borderId="17" xfId="107" applyFont="1" applyBorder="1" applyAlignment="1" applyProtection="1">
      <alignment vertical="center"/>
      <protection/>
    </xf>
    <xf numFmtId="4" fontId="29" fillId="0" borderId="0" xfId="128" applyNumberFormat="1" applyFont="1" applyFill="1" applyAlignment="1" applyProtection="1">
      <alignment horizontal="center" vertical="center"/>
      <protection hidden="1"/>
    </xf>
    <xf numFmtId="3" fontId="29" fillId="0" borderId="0" xfId="128" applyNumberFormat="1" applyFont="1" applyFill="1" applyAlignment="1" applyProtection="1">
      <alignment horizontal="left" vertical="center"/>
      <protection hidden="1"/>
    </xf>
    <xf numFmtId="4" fontId="51" fillId="0" borderId="0" xfId="128" applyNumberFormat="1" applyFont="1" applyFill="1" applyBorder="1" applyAlignment="1" applyProtection="1">
      <alignment horizontal="center" vertical="center"/>
      <protection hidden="1"/>
    </xf>
    <xf numFmtId="4" fontId="23" fillId="0" borderId="23" xfId="128" applyNumberFormat="1" applyFont="1" applyFill="1" applyBorder="1" applyAlignment="1" applyProtection="1">
      <alignment horizontal="left" vertical="center"/>
      <protection hidden="1"/>
    </xf>
    <xf numFmtId="172" fontId="23" fillId="0" borderId="23" xfId="128" applyNumberFormat="1" applyFont="1" applyFill="1" applyBorder="1" applyAlignment="1" applyProtection="1">
      <alignment horizontal="centerContinuous" vertical="center"/>
      <protection hidden="1"/>
    </xf>
    <xf numFmtId="169" fontId="23" fillId="0" borderId="23" xfId="128" applyNumberFormat="1" applyFont="1" applyFill="1" applyBorder="1" applyAlignment="1" applyProtection="1">
      <alignment horizontal="centerContinuous" vertical="center"/>
      <protection hidden="1"/>
    </xf>
    <xf numFmtId="3" fontId="23" fillId="0" borderId="23" xfId="128" applyNumberFormat="1" applyFont="1" applyFill="1" applyBorder="1" applyAlignment="1" applyProtection="1">
      <alignment horizontal="right" vertical="center"/>
      <protection hidden="1"/>
    </xf>
    <xf numFmtId="3" fontId="23" fillId="0" borderId="23" xfId="128" applyNumberFormat="1" applyFont="1" applyFill="1" applyBorder="1" applyAlignment="1" applyProtection="1">
      <alignment vertical="center"/>
      <protection hidden="1"/>
    </xf>
    <xf numFmtId="0" fontId="20" fillId="0" borderId="22" xfId="127" applyFont="1" applyFill="1" applyBorder="1" applyAlignment="1">
      <alignment vertical="center"/>
      <protection/>
    </xf>
    <xf numFmtId="184" fontId="20" fillId="0" borderId="22" xfId="127" applyNumberFormat="1" applyFont="1" applyFill="1" applyBorder="1" applyAlignment="1">
      <alignment horizontal="center" vertical="center"/>
      <protection/>
    </xf>
    <xf numFmtId="0" fontId="52" fillId="0" borderId="0" xfId="127" applyFont="1" applyAlignment="1">
      <alignment horizontal="left" vertical="center"/>
      <protection/>
    </xf>
    <xf numFmtId="0" fontId="43" fillId="8" borderId="15" xfId="126" applyFont="1" applyFill="1" applyBorder="1" applyAlignment="1">
      <alignment horizontal="centerContinuous" vertical="center"/>
      <protection/>
    </xf>
    <xf numFmtId="4" fontId="53" fillId="0" borderId="23" xfId="128" applyNumberFormat="1" applyFont="1" applyFill="1" applyBorder="1" applyAlignment="1" applyProtection="1">
      <alignment horizontal="left" vertical="center"/>
      <protection hidden="1"/>
    </xf>
    <xf numFmtId="3" fontId="53" fillId="0" borderId="23" xfId="128" applyNumberFormat="1" applyFont="1" applyFill="1" applyBorder="1" applyAlignment="1" applyProtection="1">
      <alignment horizontal="right" vertical="center"/>
      <protection hidden="1"/>
    </xf>
    <xf numFmtId="3" fontId="53" fillId="0" borderId="23" xfId="128" applyNumberFormat="1" applyFont="1" applyFill="1" applyBorder="1" applyAlignment="1" applyProtection="1">
      <alignment vertical="center"/>
      <protection hidden="1"/>
    </xf>
    <xf numFmtId="0" fontId="54" fillId="19" borderId="0" xfId="0" applyFont="1" applyFill="1" applyAlignment="1">
      <alignment/>
    </xf>
    <xf numFmtId="0" fontId="4" fillId="19" borderId="0" xfId="0" applyFont="1" applyFill="1" applyAlignment="1">
      <alignment/>
    </xf>
    <xf numFmtId="0" fontId="55" fillId="0" borderId="0" xfId="0" applyFont="1" applyAlignment="1">
      <alignment/>
    </xf>
    <xf numFmtId="0" fontId="56" fillId="0" borderId="0" xfId="0" applyFont="1" applyAlignment="1">
      <alignment/>
    </xf>
    <xf numFmtId="0" fontId="26" fillId="0" borderId="24" xfId="125" applyFont="1" applyFill="1" applyBorder="1" applyAlignment="1" applyProtection="1">
      <alignment horizontal="center" vertical="center"/>
      <protection locked="0"/>
    </xf>
    <xf numFmtId="0" fontId="26" fillId="0" borderId="24" xfId="125" applyFont="1" applyBorder="1" applyAlignment="1" applyProtection="1">
      <alignment horizontal="center" vertical="center"/>
      <protection locked="0"/>
    </xf>
    <xf numFmtId="169" fontId="26" fillId="0" borderId="24" xfId="125" applyNumberFormat="1" applyFont="1" applyBorder="1" applyAlignment="1" applyProtection="1">
      <alignment horizontal="center" vertical="center"/>
      <protection locked="0"/>
    </xf>
    <xf numFmtId="0" fontId="21" fillId="0" borderId="12" xfId="125" applyFont="1" applyBorder="1" applyAlignment="1" applyProtection="1">
      <alignment horizontal="left" vertical="center"/>
      <protection locked="0"/>
    </xf>
    <xf numFmtId="0" fontId="21" fillId="0" borderId="17" xfId="125" applyFont="1" applyBorder="1" applyAlignment="1" applyProtection="1">
      <alignment horizontal="left" vertical="center"/>
      <protection locked="0"/>
    </xf>
    <xf numFmtId="0" fontId="21" fillId="0" borderId="17" xfId="125" applyFont="1" applyFill="1" applyBorder="1" applyAlignment="1" applyProtection="1">
      <alignment vertical="center"/>
      <protection locked="0"/>
    </xf>
    <xf numFmtId="0" fontId="20" fillId="0" borderId="17" xfId="125" applyFont="1" applyBorder="1">
      <alignment/>
      <protection/>
    </xf>
    <xf numFmtId="0" fontId="21" fillId="0" borderId="17" xfId="125" applyFont="1" applyFill="1" applyBorder="1" applyAlignment="1" applyProtection="1">
      <alignment horizontal="left" vertical="center"/>
      <protection locked="0"/>
    </xf>
    <xf numFmtId="0" fontId="21" fillId="0" borderId="17" xfId="125" applyFont="1" applyBorder="1" applyAlignment="1" applyProtection="1">
      <alignment vertical="center"/>
      <protection locked="0"/>
    </xf>
    <xf numFmtId="3" fontId="20" fillId="0" borderId="17" xfId="125" applyNumberFormat="1" applyFont="1" applyFill="1" applyBorder="1" applyAlignment="1" applyProtection="1">
      <alignment horizontal="right" vertical="center" wrapText="1"/>
      <protection hidden="1"/>
    </xf>
    <xf numFmtId="0" fontId="16" fillId="0" borderId="0" xfId="125">
      <alignment/>
      <protection/>
    </xf>
    <xf numFmtId="0" fontId="21" fillId="0" borderId="17" xfId="125" applyFont="1" applyFill="1" applyBorder="1" applyAlignment="1" applyProtection="1">
      <alignment horizontal="left" vertical="center" wrapText="1" indent="1"/>
      <protection locked="0"/>
    </xf>
    <xf numFmtId="172" fontId="44" fillId="0" borderId="12" xfId="128" applyNumberFormat="1" applyFont="1" applyFill="1" applyBorder="1" applyAlignment="1" applyProtection="1">
      <alignment vertical="center"/>
      <protection hidden="1"/>
    </xf>
    <xf numFmtId="172" fontId="20" fillId="0" borderId="12" xfId="128" applyNumberFormat="1" applyFont="1" applyFill="1" applyBorder="1" applyAlignment="1" applyProtection="1">
      <alignment horizontal="centerContinuous" vertical="center"/>
      <protection hidden="1"/>
    </xf>
    <xf numFmtId="169" fontId="20" fillId="0" borderId="12" xfId="128" applyNumberFormat="1" applyFont="1" applyFill="1" applyBorder="1" applyAlignment="1" applyProtection="1">
      <alignment horizontal="centerContinuous" vertical="center"/>
      <protection hidden="1"/>
    </xf>
    <xf numFmtId="3" fontId="20" fillId="0" borderId="12" xfId="128" applyNumberFormat="1" applyFont="1" applyFill="1" applyBorder="1" applyAlignment="1" applyProtection="1">
      <alignment horizontal="centerContinuous" vertical="center"/>
      <protection hidden="1"/>
    </xf>
    <xf numFmtId="4" fontId="21" fillId="0" borderId="17" xfId="128" applyNumberFormat="1" applyFont="1" applyFill="1" applyBorder="1" applyAlignment="1" applyProtection="1">
      <alignment horizontal="left" vertical="center"/>
      <protection hidden="1"/>
    </xf>
    <xf numFmtId="172" fontId="20" fillId="0" borderId="17" xfId="128" applyNumberFormat="1" applyFont="1" applyFill="1" applyBorder="1" applyAlignment="1" applyProtection="1">
      <alignment horizontal="center" vertical="center"/>
      <protection hidden="1"/>
    </xf>
    <xf numFmtId="169" fontId="20" fillId="0" borderId="17" xfId="128" applyNumberFormat="1" applyFont="1" applyFill="1" applyBorder="1" applyAlignment="1" applyProtection="1">
      <alignment horizontal="center" vertical="center" wrapText="1"/>
      <protection hidden="1"/>
    </xf>
    <xf numFmtId="3" fontId="20" fillId="0" borderId="17" xfId="128" applyNumberFormat="1" applyFont="1" applyFill="1" applyBorder="1" applyAlignment="1" applyProtection="1">
      <alignment horizontal="center" vertical="center" wrapText="1"/>
      <protection hidden="1"/>
    </xf>
    <xf numFmtId="3" fontId="20" fillId="0" borderId="17" xfId="128" applyNumberFormat="1" applyFont="1" applyFill="1" applyBorder="1" applyAlignment="1" applyProtection="1">
      <alignment horizontal="center" vertical="center"/>
      <protection hidden="1"/>
    </xf>
    <xf numFmtId="172" fontId="20" fillId="0" borderId="17" xfId="128" applyNumberFormat="1" applyFont="1" applyFill="1" applyBorder="1" applyAlignment="1" applyProtection="1">
      <alignment horizontal="center" vertical="center" wrapText="1"/>
      <protection hidden="1"/>
    </xf>
    <xf numFmtId="0" fontId="20" fillId="0" borderId="17" xfId="126" applyFont="1" applyFill="1" applyBorder="1" applyAlignment="1">
      <alignment vertical="center"/>
      <protection/>
    </xf>
    <xf numFmtId="169" fontId="20" fillId="0" borderId="17" xfId="128" applyNumberFormat="1" applyFont="1" applyFill="1" applyBorder="1" applyAlignment="1" applyProtection="1">
      <alignment horizontal="center" vertical="center"/>
      <protection locked="0"/>
    </xf>
    <xf numFmtId="3" fontId="20" fillId="0" borderId="17" xfId="128" applyNumberFormat="1" applyFont="1" applyFill="1" applyBorder="1" applyAlignment="1" applyProtection="1">
      <alignment horizontal="right" vertical="center"/>
      <protection hidden="1"/>
    </xf>
    <xf numFmtId="172" fontId="44" fillId="0" borderId="17" xfId="128" applyNumberFormat="1" applyFont="1" applyFill="1" applyBorder="1" applyAlignment="1" applyProtection="1">
      <alignment vertical="center"/>
      <protection hidden="1"/>
    </xf>
    <xf numFmtId="0" fontId="20" fillId="0" borderId="17" xfId="125" applyFont="1" applyFill="1" applyBorder="1" applyAlignment="1" applyProtection="1">
      <alignment vertical="center"/>
      <protection hidden="1"/>
    </xf>
    <xf numFmtId="3" fontId="21" fillId="0" borderId="17" xfId="125" applyNumberFormat="1" applyFont="1" applyFill="1" applyBorder="1" applyAlignment="1" applyProtection="1">
      <alignment horizontal="right" vertical="center"/>
      <protection hidden="1"/>
    </xf>
    <xf numFmtId="3" fontId="20" fillId="0" borderId="17" xfId="125" applyNumberFormat="1" applyFont="1" applyFill="1" applyBorder="1" applyAlignment="1" applyProtection="1">
      <alignment horizontal="right" vertical="center"/>
      <protection hidden="1"/>
    </xf>
    <xf numFmtId="0" fontId="30" fillId="0" borderId="17" xfId="125" applyFont="1" applyFill="1" applyBorder="1" applyAlignment="1" applyProtection="1">
      <alignment vertical="center"/>
      <protection hidden="1"/>
    </xf>
    <xf numFmtId="4" fontId="20" fillId="0" borderId="17" xfId="128" applyNumberFormat="1" applyFont="1" applyFill="1" applyBorder="1" applyAlignment="1" applyProtection="1">
      <alignment horizontal="center" vertical="center" wrapText="1"/>
      <protection hidden="1"/>
    </xf>
    <xf numFmtId="3" fontId="20" fillId="0" borderId="17" xfId="128" applyNumberFormat="1" applyFont="1" applyFill="1" applyBorder="1" applyAlignment="1" applyProtection="1">
      <alignment horizontal="right" vertical="center" wrapText="1"/>
      <protection hidden="1"/>
    </xf>
    <xf numFmtId="3" fontId="20" fillId="0" borderId="17" xfId="139" applyNumberFormat="1" applyFont="1" applyFill="1" applyBorder="1" applyAlignment="1" applyProtection="1">
      <alignment horizontal="right" vertical="center"/>
      <protection hidden="1"/>
    </xf>
    <xf numFmtId="4" fontId="21" fillId="0" borderId="17" xfId="128" applyNumberFormat="1" applyFont="1" applyFill="1" applyBorder="1" applyAlignment="1" applyProtection="1">
      <alignment horizontal="center" vertical="center" wrapText="1"/>
      <protection hidden="1"/>
    </xf>
    <xf numFmtId="0" fontId="31" fillId="0" borderId="17" xfId="125" applyFont="1" applyFill="1" applyBorder="1" applyAlignment="1" applyProtection="1">
      <alignment horizontal="center" vertical="center" wrapText="1"/>
      <protection hidden="1"/>
    </xf>
    <xf numFmtId="2" fontId="31" fillId="0" borderId="17" xfId="125" applyNumberFormat="1" applyFont="1" applyFill="1" applyBorder="1" applyAlignment="1" applyProtection="1">
      <alignment horizontal="center" vertical="center" wrapText="1"/>
      <protection hidden="1"/>
    </xf>
    <xf numFmtId="3" fontId="31" fillId="0" borderId="17" xfId="125" applyNumberFormat="1" applyFont="1" applyFill="1" applyBorder="1" applyAlignment="1" applyProtection="1">
      <alignment horizontal="right" vertical="center" wrapText="1"/>
      <protection hidden="1"/>
    </xf>
    <xf numFmtId="49" fontId="30" fillId="0" borderId="17" xfId="125" applyNumberFormat="1" applyFont="1" applyFill="1" applyBorder="1" applyAlignment="1" applyProtection="1">
      <alignment horizontal="justify" vertical="center" wrapText="1"/>
      <protection hidden="1"/>
    </xf>
    <xf numFmtId="49" fontId="31" fillId="0" borderId="17" xfId="125" applyNumberFormat="1" applyFont="1" applyFill="1" applyBorder="1" applyAlignment="1" applyProtection="1">
      <alignment horizontal="justify" vertical="center" wrapText="1"/>
      <protection hidden="1"/>
    </xf>
    <xf numFmtId="4" fontId="20" fillId="0" borderId="17" xfId="128" applyNumberFormat="1" applyFont="1" applyFill="1" applyBorder="1" applyAlignment="1" applyProtection="1">
      <alignment horizontal="center" vertical="center"/>
      <protection hidden="1"/>
    </xf>
    <xf numFmtId="0" fontId="20" fillId="0" borderId="17" xfId="125" applyFont="1" applyFill="1" applyBorder="1" applyAlignment="1" applyProtection="1">
      <alignment horizontal="justify" vertical="center"/>
      <protection hidden="1"/>
    </xf>
    <xf numFmtId="0" fontId="42" fillId="0" borderId="17" xfId="125" applyFont="1" applyFill="1" applyBorder="1" applyAlignment="1" applyProtection="1">
      <alignment horizontal="left" vertical="center"/>
      <protection hidden="1"/>
    </xf>
    <xf numFmtId="0" fontId="20" fillId="0" borderId="17" xfId="125" applyFont="1" applyFill="1" applyBorder="1" applyAlignment="1" applyProtection="1">
      <alignment horizontal="left" vertical="center"/>
      <protection hidden="1"/>
    </xf>
    <xf numFmtId="0" fontId="21" fillId="0" borderId="17" xfId="125" applyFont="1" applyFill="1" applyBorder="1" applyAlignment="1" applyProtection="1">
      <alignment horizontal="left" vertical="center"/>
      <protection hidden="1"/>
    </xf>
    <xf numFmtId="0" fontId="31" fillId="0" borderId="17" xfId="125" applyFont="1" applyFill="1" applyBorder="1" applyAlignment="1" applyProtection="1">
      <alignment horizontal="center" vertical="center"/>
      <protection hidden="1"/>
    </xf>
    <xf numFmtId="4" fontId="21" fillId="0" borderId="17" xfId="128" applyNumberFormat="1" applyFont="1" applyFill="1" applyBorder="1" applyAlignment="1" applyProtection="1">
      <alignment horizontal="center" vertical="center"/>
      <protection hidden="1"/>
    </xf>
    <xf numFmtId="2" fontId="31" fillId="0" borderId="17" xfId="125" applyNumberFormat="1" applyFont="1" applyFill="1" applyBorder="1" applyAlignment="1" applyProtection="1">
      <alignment horizontal="center" vertical="center"/>
      <protection hidden="1"/>
    </xf>
    <xf numFmtId="3" fontId="31" fillId="0" borderId="17" xfId="125" applyNumberFormat="1" applyFont="1" applyFill="1" applyBorder="1" applyAlignment="1" applyProtection="1">
      <alignment horizontal="right" vertical="center"/>
      <protection hidden="1"/>
    </xf>
    <xf numFmtId="0" fontId="20" fillId="0" borderId="17" xfId="125" applyFont="1" applyFill="1" applyBorder="1" applyAlignment="1" applyProtection="1">
      <alignment horizontal="justify" vertical="center" wrapText="1"/>
      <protection hidden="1"/>
    </xf>
    <xf numFmtId="3" fontId="21" fillId="0" borderId="17" xfId="125" applyNumberFormat="1" applyFont="1" applyFill="1" applyBorder="1" applyAlignment="1" applyProtection="1">
      <alignment horizontal="right" vertical="center" wrapText="1"/>
      <protection hidden="1"/>
    </xf>
    <xf numFmtId="0" fontId="20" fillId="0" borderId="17" xfId="125" applyFont="1" applyFill="1" applyBorder="1" applyAlignment="1" applyProtection="1">
      <alignment horizontal="center" vertical="center" wrapText="1"/>
      <protection hidden="1"/>
    </xf>
    <xf numFmtId="2" fontId="20" fillId="0" borderId="17" xfId="125" applyNumberFormat="1" applyFont="1" applyFill="1" applyBorder="1" applyAlignment="1" applyProtection="1">
      <alignment horizontal="center" vertical="center"/>
      <protection hidden="1"/>
    </xf>
    <xf numFmtId="0" fontId="25" fillId="0" borderId="17" xfId="125" applyFont="1" applyFill="1" applyBorder="1" applyAlignment="1" applyProtection="1">
      <alignment horizontal="left" vertical="center"/>
      <protection hidden="1"/>
    </xf>
    <xf numFmtId="9" fontId="20" fillId="0" borderId="17" xfId="125" applyNumberFormat="1" applyFont="1" applyFill="1" applyBorder="1" applyAlignment="1" applyProtection="1">
      <alignment vertical="center"/>
      <protection hidden="1"/>
    </xf>
    <xf numFmtId="0" fontId="94" fillId="0" borderId="17" xfId="125" applyFont="1" applyFill="1" applyBorder="1" applyAlignment="1" applyProtection="1">
      <alignment horizontal="center" vertical="center"/>
      <protection hidden="1"/>
    </xf>
    <xf numFmtId="180" fontId="31" fillId="0" borderId="17" xfId="125" applyNumberFormat="1" applyFont="1" applyFill="1" applyBorder="1" applyAlignment="1" applyProtection="1">
      <alignment horizontal="center" vertical="center"/>
      <protection hidden="1"/>
    </xf>
    <xf numFmtId="3" fontId="31" fillId="0" borderId="17" xfId="125" applyNumberFormat="1" applyFont="1" applyFill="1" applyBorder="1" applyAlignment="1" applyProtection="1">
      <alignment horizontal="left" vertical="center"/>
      <protection hidden="1"/>
    </xf>
    <xf numFmtId="3" fontId="31" fillId="0" borderId="17" xfId="125" applyNumberFormat="1" applyFont="1" applyFill="1" applyBorder="1" applyAlignment="1" applyProtection="1">
      <alignment horizontal="center" vertical="center"/>
      <protection hidden="1"/>
    </xf>
    <xf numFmtId="0" fontId="31" fillId="0" borderId="17" xfId="125" applyFont="1" applyFill="1" applyBorder="1" applyAlignment="1" applyProtection="1">
      <alignment vertical="center"/>
      <protection hidden="1"/>
    </xf>
    <xf numFmtId="3" fontId="30" fillId="0" borderId="17" xfId="125" applyNumberFormat="1" applyFont="1" applyFill="1" applyBorder="1" applyAlignment="1" applyProtection="1">
      <alignment horizontal="right" vertical="center"/>
      <protection hidden="1"/>
    </xf>
    <xf numFmtId="4" fontId="31" fillId="0" borderId="17" xfId="125" applyNumberFormat="1" applyFont="1" applyFill="1" applyBorder="1" applyAlignment="1" applyProtection="1">
      <alignment horizontal="center" vertical="center"/>
      <protection hidden="1"/>
    </xf>
    <xf numFmtId="4" fontId="21" fillId="0" borderId="18" xfId="128" applyNumberFormat="1" applyFont="1" applyFill="1" applyBorder="1" applyAlignment="1" applyProtection="1">
      <alignment horizontal="center" vertical="center"/>
      <protection hidden="1"/>
    </xf>
    <xf numFmtId="0" fontId="20" fillId="0" borderId="18" xfId="125" applyFont="1" applyFill="1" applyBorder="1" applyAlignment="1" applyProtection="1">
      <alignment vertical="center"/>
      <protection hidden="1"/>
    </xf>
    <xf numFmtId="4" fontId="31" fillId="0" borderId="18" xfId="125" applyNumberFormat="1" applyFont="1" applyFill="1" applyBorder="1" applyAlignment="1" applyProtection="1">
      <alignment horizontal="center" vertical="center"/>
      <protection hidden="1"/>
    </xf>
    <xf numFmtId="3" fontId="20" fillId="0" borderId="18" xfId="125" applyNumberFormat="1" applyFont="1" applyFill="1" applyBorder="1" applyAlignment="1" applyProtection="1">
      <alignment horizontal="right" vertical="center"/>
      <protection hidden="1"/>
    </xf>
    <xf numFmtId="3" fontId="31" fillId="0" borderId="18" xfId="125" applyNumberFormat="1" applyFont="1" applyFill="1" applyBorder="1" applyAlignment="1" applyProtection="1">
      <alignment horizontal="right" vertical="center"/>
      <protection hidden="1"/>
    </xf>
    <xf numFmtId="3" fontId="20" fillId="0" borderId="18" xfId="128" applyNumberFormat="1" applyFont="1" applyFill="1" applyBorder="1" applyAlignment="1" applyProtection="1">
      <alignment horizontal="right" vertical="center"/>
      <protection hidden="1"/>
    </xf>
    <xf numFmtId="4" fontId="95" fillId="0" borderId="0" xfId="128" applyNumberFormat="1" applyFont="1" applyFill="1" applyAlignment="1" applyProtection="1">
      <alignment horizontal="center" vertical="center"/>
      <protection hidden="1"/>
    </xf>
    <xf numFmtId="172" fontId="51" fillId="0" borderId="0" xfId="128" applyNumberFormat="1" applyFont="1" applyFill="1" applyAlignment="1" applyProtection="1">
      <alignment horizontal="center" vertical="center"/>
      <protection hidden="1"/>
    </xf>
    <xf numFmtId="169" fontId="51" fillId="0" borderId="0" xfId="128" applyNumberFormat="1" applyFont="1" applyFill="1" applyAlignment="1" applyProtection="1">
      <alignment horizontal="center" vertical="center"/>
      <protection hidden="1"/>
    </xf>
    <xf numFmtId="3" fontId="51" fillId="0" borderId="0" xfId="128" applyNumberFormat="1" applyFont="1" applyFill="1" applyAlignment="1" applyProtection="1">
      <alignment horizontal="center" vertical="center"/>
      <protection hidden="1"/>
    </xf>
    <xf numFmtId="0" fontId="26" fillId="0" borderId="9" xfId="125" applyFont="1" applyBorder="1" applyAlignment="1">
      <alignment horizontal="center"/>
      <protection/>
    </xf>
    <xf numFmtId="0" fontId="20" fillId="0" borderId="12" xfId="125" applyFont="1" applyBorder="1">
      <alignment/>
      <protection/>
    </xf>
    <xf numFmtId="172" fontId="20" fillId="0" borderId="12" xfId="125" applyNumberFormat="1" applyFont="1" applyBorder="1">
      <alignment/>
      <protection/>
    </xf>
    <xf numFmtId="172" fontId="21" fillId="0" borderId="12" xfId="125" applyNumberFormat="1" applyFont="1" applyBorder="1">
      <alignment/>
      <protection/>
    </xf>
    <xf numFmtId="172" fontId="20" fillId="0" borderId="17" xfId="125" applyNumberFormat="1" applyFont="1" applyBorder="1">
      <alignment/>
      <protection/>
    </xf>
    <xf numFmtId="172" fontId="21" fillId="0" borderId="17" xfId="125" applyNumberFormat="1" applyFont="1" applyBorder="1">
      <alignment/>
      <protection/>
    </xf>
    <xf numFmtId="3" fontId="16" fillId="0" borderId="0" xfId="125" applyNumberFormat="1">
      <alignment/>
      <protection/>
    </xf>
    <xf numFmtId="0" fontId="20" fillId="0" borderId="18" xfId="125" applyFont="1" applyBorder="1">
      <alignment/>
      <protection/>
    </xf>
    <xf numFmtId="172" fontId="20" fillId="0" borderId="18" xfId="125" applyNumberFormat="1" applyFont="1" applyBorder="1">
      <alignment/>
      <protection/>
    </xf>
    <xf numFmtId="172" fontId="16" fillId="0" borderId="0" xfId="125" applyNumberFormat="1">
      <alignment/>
      <protection/>
    </xf>
    <xf numFmtId="49" fontId="31" fillId="0" borderId="17" xfId="125" applyNumberFormat="1" applyFont="1" applyFill="1" applyBorder="1" applyAlignment="1" applyProtection="1">
      <alignment horizontal="center" vertical="center" wrapText="1"/>
      <protection hidden="1"/>
    </xf>
    <xf numFmtId="0" fontId="2" fillId="21" borderId="0" xfId="0" applyFont="1" applyFill="1" applyAlignment="1">
      <alignment/>
    </xf>
    <xf numFmtId="0" fontId="29" fillId="0" borderId="12" xfId="0" applyFont="1" applyBorder="1" applyAlignment="1">
      <alignment horizontal="center" vertical="center"/>
    </xf>
    <xf numFmtId="0" fontId="50" fillId="0" borderId="12" xfId="107" applyFont="1" applyBorder="1" applyAlignment="1" applyProtection="1">
      <alignment vertical="center"/>
      <protection/>
    </xf>
    <xf numFmtId="0" fontId="20" fillId="0" borderId="12" xfId="78" applyNumberFormat="1" applyFont="1" applyFill="1" applyBorder="1" applyAlignment="1">
      <alignment horizontal="center" vertical="center"/>
    </xf>
    <xf numFmtId="0" fontId="20" fillId="0" borderId="17" xfId="78" applyNumberFormat="1" applyFont="1" applyFill="1" applyBorder="1" applyAlignment="1">
      <alignment horizontal="center" vertical="center"/>
    </xf>
    <xf numFmtId="0" fontId="20" fillId="11" borderId="17" xfId="126" applyFont="1" applyFill="1" applyBorder="1" applyAlignment="1">
      <alignment vertical="center"/>
      <protection/>
    </xf>
    <xf numFmtId="172" fontId="20" fillId="11" borderId="17" xfId="128" applyNumberFormat="1" applyFont="1" applyFill="1" applyBorder="1" applyAlignment="1" applyProtection="1">
      <alignment horizontal="center" vertical="center"/>
      <protection hidden="1"/>
    </xf>
    <xf numFmtId="169" fontId="20" fillId="11" borderId="17" xfId="128" applyNumberFormat="1" applyFont="1" applyFill="1" applyBorder="1" applyAlignment="1" applyProtection="1">
      <alignment horizontal="center" vertical="center"/>
      <protection locked="0"/>
    </xf>
    <xf numFmtId="3" fontId="20" fillId="11" borderId="17" xfId="128" applyNumberFormat="1" applyFont="1" applyFill="1" applyBorder="1" applyAlignment="1" applyProtection="1">
      <alignment horizontal="right" vertical="center"/>
      <protection hidden="1"/>
    </xf>
    <xf numFmtId="0" fontId="37" fillId="0" borderId="0" xfId="126" applyFont="1" applyAlignment="1">
      <alignment horizontal="centerContinuous" vertical="center"/>
      <protection/>
    </xf>
    <xf numFmtId="0" fontId="20" fillId="0" borderId="0" xfId="126" applyFont="1" applyFill="1">
      <alignment/>
      <protection/>
    </xf>
    <xf numFmtId="0" fontId="20" fillId="0" borderId="0" xfId="126" applyFont="1">
      <alignment/>
      <protection/>
    </xf>
    <xf numFmtId="0" fontId="20" fillId="0" borderId="9" xfId="125" applyFont="1" applyFill="1" applyBorder="1" applyAlignment="1" applyProtection="1">
      <alignment vertical="center"/>
      <protection locked="0"/>
    </xf>
    <xf numFmtId="0" fontId="20" fillId="19" borderId="0" xfId="127" applyFont="1" applyFill="1">
      <alignment/>
      <protection/>
    </xf>
    <xf numFmtId="2" fontId="20" fillId="0" borderId="17" xfId="78" applyNumberFormat="1" applyFont="1" applyFill="1" applyBorder="1" applyAlignment="1">
      <alignment horizontal="center" vertical="center"/>
    </xf>
    <xf numFmtId="0" fontId="21" fillId="0" borderId="17" xfId="125" applyFont="1" applyFill="1" applyBorder="1" applyAlignment="1" applyProtection="1">
      <alignment horizontal="left" vertical="center" wrapText="1"/>
      <protection locked="0"/>
    </xf>
    <xf numFmtId="0" fontId="41" fillId="0" borderId="0" xfId="127" applyFont="1" applyAlignment="1">
      <alignment vertical="center"/>
      <protection/>
    </xf>
    <xf numFmtId="0" fontId="29" fillId="0" borderId="0" xfId="126" applyFont="1" applyAlignment="1">
      <alignment vertical="center"/>
      <protection/>
    </xf>
    <xf numFmtId="0" fontId="29" fillId="0" borderId="0" xfId="126" applyFont="1" applyAlignment="1">
      <alignment vertical="center" wrapText="1"/>
      <protection/>
    </xf>
    <xf numFmtId="164" fontId="29" fillId="0" borderId="0" xfId="126" applyNumberFormat="1" applyFont="1" applyAlignment="1">
      <alignment vertical="center"/>
      <protection/>
    </xf>
    <xf numFmtId="0" fontId="20" fillId="0" borderId="0" xfId="126" applyFont="1" applyAlignment="1">
      <alignment horizontal="center" vertical="center"/>
      <protection/>
    </xf>
    <xf numFmtId="0" fontId="98" fillId="0" borderId="0" xfId="127" applyFont="1" applyAlignment="1">
      <alignment horizontal="centerContinuous" vertical="center"/>
      <protection/>
    </xf>
    <xf numFmtId="0" fontId="20" fillId="0" borderId="0" xfId="125" applyFont="1" applyFill="1" applyBorder="1" applyAlignment="1" applyProtection="1">
      <alignment horizontal="center" vertical="center" wrapText="1"/>
      <protection locked="0"/>
    </xf>
    <xf numFmtId="0" fontId="20" fillId="0" borderId="12" xfId="125" applyFont="1" applyBorder="1" applyAlignment="1" applyProtection="1">
      <alignment vertical="center"/>
      <protection locked="0"/>
    </xf>
    <xf numFmtId="191" fontId="20" fillId="0" borderId="17" xfId="125" applyNumberFormat="1" applyFont="1" applyFill="1" applyBorder="1" applyAlignment="1" applyProtection="1">
      <alignment horizontal="right" vertical="center"/>
      <protection locked="0"/>
    </xf>
    <xf numFmtId="223" fontId="20" fillId="0" borderId="0" xfId="78" applyNumberFormat="1" applyFont="1" applyFill="1" applyBorder="1" applyAlignment="1" applyProtection="1">
      <alignment vertical="center"/>
      <protection locked="0"/>
    </xf>
    <xf numFmtId="191" fontId="20" fillId="0" borderId="21" xfId="125" applyNumberFormat="1" applyFont="1" applyFill="1" applyBorder="1" applyAlignment="1" applyProtection="1">
      <alignment horizontal="right" vertical="center"/>
      <protection locked="0"/>
    </xf>
    <xf numFmtId="191" fontId="20" fillId="0" borderId="9" xfId="125" applyNumberFormat="1" applyFont="1" applyFill="1" applyBorder="1" applyAlignment="1" applyProtection="1">
      <alignment horizontal="right" vertical="center"/>
      <protection locked="0"/>
    </xf>
    <xf numFmtId="0" fontId="20" fillId="0" borderId="0" xfId="126" applyFont="1">
      <alignment/>
      <protection/>
    </xf>
    <xf numFmtId="223" fontId="20" fillId="0" borderId="9" xfId="78" applyNumberFormat="1" applyFont="1" applyFill="1" applyBorder="1" applyAlignment="1" applyProtection="1">
      <alignment vertical="center"/>
      <protection locked="0"/>
    </xf>
    <xf numFmtId="0" fontId="99" fillId="0" borderId="0" xfId="126" applyFont="1" applyAlignment="1">
      <alignment horizontal="centerContinuous" vertical="center"/>
      <protection/>
    </xf>
    <xf numFmtId="0" fontId="20" fillId="0" borderId="9" xfId="125" applyFont="1" applyFill="1" applyBorder="1" applyAlignment="1" applyProtection="1">
      <alignment horizontal="center" vertical="center" wrapText="1"/>
      <protection locked="0"/>
    </xf>
    <xf numFmtId="223" fontId="20" fillId="0" borderId="9" xfId="78" applyNumberFormat="1" applyFont="1" applyFill="1" applyBorder="1" applyAlignment="1" applyProtection="1">
      <alignment horizontal="center" vertical="center" wrapText="1"/>
      <protection locked="0"/>
    </xf>
    <xf numFmtId="0" fontId="20" fillId="0" borderId="0" xfId="126" applyFont="1" applyFill="1">
      <alignment/>
      <protection/>
    </xf>
    <xf numFmtId="191" fontId="20" fillId="0" borderId="9" xfId="125" applyNumberFormat="1" applyFont="1" applyFill="1" applyBorder="1" applyAlignment="1" applyProtection="1">
      <alignment vertical="center"/>
      <protection locked="0"/>
    </xf>
    <xf numFmtId="223" fontId="20" fillId="0" borderId="9" xfId="78" applyNumberFormat="1" applyFont="1" applyFill="1" applyBorder="1" applyAlignment="1" applyProtection="1">
      <alignment vertical="center"/>
      <protection locked="0"/>
    </xf>
    <xf numFmtId="0" fontId="100" fillId="0" borderId="0" xfId="127" applyFont="1" applyAlignment="1">
      <alignment horizontal="centerContinuous" vertical="center"/>
      <protection/>
    </xf>
    <xf numFmtId="3" fontId="20" fillId="0" borderId="24" xfId="125" applyNumberFormat="1" applyFont="1" applyBorder="1" applyAlignment="1" applyProtection="1">
      <alignment horizontal="right" vertical="center"/>
      <protection locked="0"/>
    </xf>
    <xf numFmtId="0" fontId="20" fillId="0" borderId="0" xfId="125" applyFont="1" applyFill="1" applyAlignment="1" applyProtection="1">
      <alignment vertical="center"/>
      <protection locked="0"/>
    </xf>
    <xf numFmtId="223" fontId="20" fillId="0" borderId="0" xfId="78" applyNumberFormat="1" applyFont="1" applyFill="1" applyAlignment="1" applyProtection="1">
      <alignment vertical="center"/>
      <protection locked="0"/>
    </xf>
    <xf numFmtId="0" fontId="20" fillId="0" borderId="0" xfId="125" applyFont="1" applyAlignment="1" applyProtection="1">
      <alignment vertical="center"/>
      <protection locked="0"/>
    </xf>
    <xf numFmtId="0" fontId="20" fillId="0" borderId="25" xfId="125" applyFont="1" applyFill="1" applyBorder="1" applyAlignment="1" applyProtection="1">
      <alignment horizontal="center" vertical="center" wrapText="1"/>
      <protection locked="0"/>
    </xf>
    <xf numFmtId="0" fontId="20" fillId="0" borderId="26" xfId="125" applyFont="1" applyFill="1" applyBorder="1" applyAlignment="1" applyProtection="1">
      <alignment horizontal="center" vertical="center"/>
      <protection locked="0"/>
    </xf>
    <xf numFmtId="0" fontId="20" fillId="0" borderId="12" xfId="125" applyFont="1" applyFill="1" applyBorder="1" applyAlignment="1" applyProtection="1">
      <alignment horizontal="center" vertical="center"/>
      <protection locked="0"/>
    </xf>
    <xf numFmtId="0" fontId="20" fillId="0" borderId="27" xfId="125" applyFont="1" applyFill="1" applyBorder="1" applyAlignment="1" applyProtection="1">
      <alignment horizontal="center" vertical="center"/>
      <protection locked="0"/>
    </xf>
    <xf numFmtId="0" fontId="20" fillId="0" borderId="22" xfId="125" applyFont="1" applyFill="1" applyBorder="1" applyAlignment="1" applyProtection="1">
      <alignment horizontal="center" vertical="center"/>
      <protection locked="0"/>
    </xf>
    <xf numFmtId="0" fontId="20" fillId="0" borderId="28" xfId="125" applyFont="1" applyFill="1" applyBorder="1" applyAlignment="1" applyProtection="1">
      <alignment vertical="center"/>
      <protection locked="0"/>
    </xf>
    <xf numFmtId="0" fontId="20" fillId="0" borderId="12" xfId="125" applyFont="1" applyBorder="1" applyAlignment="1" applyProtection="1">
      <alignment horizontal="center" vertical="center"/>
      <protection locked="0"/>
    </xf>
    <xf numFmtId="9" fontId="20" fillId="0" borderId="12" xfId="125" applyNumberFormat="1" applyFont="1" applyBorder="1" applyAlignment="1" applyProtection="1">
      <alignment horizontal="right" vertical="center"/>
      <protection locked="0"/>
    </xf>
    <xf numFmtId="0" fontId="20" fillId="0" borderId="12" xfId="125" applyFont="1" applyBorder="1" applyAlignment="1" applyProtection="1">
      <alignment horizontal="left" vertical="center"/>
      <protection locked="0"/>
    </xf>
    <xf numFmtId="169" fontId="20" fillId="0" borderId="12" xfId="125" applyNumberFormat="1" applyFont="1" applyBorder="1" applyAlignment="1" applyProtection="1">
      <alignment horizontal="center" vertical="center"/>
      <protection locked="0"/>
    </xf>
    <xf numFmtId="2" fontId="20" fillId="0" borderId="12" xfId="125" applyNumberFormat="1" applyFont="1" applyBorder="1" applyAlignment="1" applyProtection="1">
      <alignment horizontal="center" vertical="center"/>
      <protection locked="0"/>
    </xf>
    <xf numFmtId="2" fontId="20" fillId="0" borderId="26" xfId="125" applyNumberFormat="1" applyFont="1" applyBorder="1" applyAlignment="1" applyProtection="1">
      <alignment vertical="center"/>
      <protection locked="0"/>
    </xf>
    <xf numFmtId="0" fontId="20" fillId="0" borderId="29" xfId="125" applyFont="1" applyBorder="1" applyAlignment="1" applyProtection="1">
      <alignment horizontal="center" vertical="center"/>
      <protection locked="0"/>
    </xf>
    <xf numFmtId="0" fontId="20" fillId="0" borderId="12" xfId="125" applyFont="1" applyFill="1" applyBorder="1" applyAlignment="1" applyProtection="1">
      <alignment vertical="center"/>
      <protection locked="0"/>
    </xf>
    <xf numFmtId="169" fontId="20" fillId="0" borderId="12" xfId="125" applyNumberFormat="1" applyFont="1" applyFill="1" applyBorder="1" applyAlignment="1" applyProtection="1">
      <alignment vertical="center"/>
      <protection locked="0"/>
    </xf>
    <xf numFmtId="3" fontId="20" fillId="0" borderId="12" xfId="125" applyNumberFormat="1" applyFont="1" applyBorder="1" applyAlignment="1" applyProtection="1">
      <alignment horizontal="center" vertical="center"/>
      <protection locked="0"/>
    </xf>
    <xf numFmtId="223" fontId="20" fillId="0" borderId="0" xfId="78" applyNumberFormat="1" applyFont="1" applyAlignment="1" applyProtection="1">
      <alignment vertical="center"/>
      <protection locked="0"/>
    </xf>
    <xf numFmtId="0" fontId="20" fillId="0" borderId="17" xfId="125" applyFont="1" applyFill="1" applyBorder="1" applyAlignment="1" applyProtection="1">
      <alignment horizontal="center" vertical="center"/>
      <protection locked="0"/>
    </xf>
    <xf numFmtId="0" fontId="20" fillId="0" borderId="17" xfId="125" applyFont="1" applyFill="1" applyBorder="1" applyAlignment="1" applyProtection="1">
      <alignment vertical="center"/>
      <protection locked="0"/>
    </xf>
    <xf numFmtId="0" fontId="20" fillId="0" borderId="17" xfId="125" applyFont="1" applyFill="1" applyBorder="1" applyAlignment="1" applyProtection="1">
      <alignment horizontal="left" vertical="center" wrapText="1" indent="1"/>
      <protection locked="0"/>
    </xf>
    <xf numFmtId="191" fontId="20" fillId="0" borderId="17" xfId="125" applyNumberFormat="1" applyFont="1" applyFill="1" applyBorder="1" applyAlignment="1" applyProtection="1">
      <alignment horizontal="right" vertical="center"/>
      <protection hidden="1"/>
    </xf>
    <xf numFmtId="2" fontId="20" fillId="0" borderId="17" xfId="125" applyNumberFormat="1" applyFont="1" applyFill="1" applyBorder="1" applyAlignment="1" applyProtection="1">
      <alignment horizontal="center" vertical="center"/>
      <protection locked="0"/>
    </xf>
    <xf numFmtId="3" fontId="20" fillId="0" borderId="17" xfId="125" applyNumberFormat="1" applyFont="1" applyFill="1" applyBorder="1" applyAlignment="1" applyProtection="1">
      <alignment horizontal="right" vertical="center"/>
      <protection hidden="1"/>
    </xf>
    <xf numFmtId="2" fontId="20" fillId="0" borderId="30" xfId="125" applyNumberFormat="1" applyFont="1" applyFill="1" applyBorder="1" applyAlignment="1" applyProtection="1">
      <alignment vertical="center"/>
      <protection locked="0"/>
    </xf>
    <xf numFmtId="0" fontId="20" fillId="0" borderId="28" xfId="125" applyFont="1" applyFill="1" applyBorder="1" applyAlignment="1" applyProtection="1">
      <alignment horizontal="left" vertical="center"/>
      <protection locked="0"/>
    </xf>
    <xf numFmtId="0" fontId="20" fillId="0" borderId="17" xfId="125" applyFont="1" applyFill="1" applyBorder="1" applyAlignment="1" applyProtection="1">
      <alignment horizontal="center" vertical="center" wrapText="1"/>
      <protection locked="0"/>
    </xf>
    <xf numFmtId="3" fontId="20" fillId="0" borderId="17" xfId="125" applyNumberFormat="1" applyFont="1" applyFill="1" applyBorder="1" applyAlignment="1" applyProtection="1">
      <alignment vertical="center"/>
      <protection locked="0"/>
    </xf>
    <xf numFmtId="0" fontId="20" fillId="0" borderId="0" xfId="125" applyNumberFormat="1" applyFont="1" applyAlignment="1" applyProtection="1">
      <alignment vertical="center"/>
      <protection locked="0"/>
    </xf>
    <xf numFmtId="0" fontId="20" fillId="0" borderId="0" xfId="125" applyFont="1" applyFill="1" applyBorder="1" applyAlignment="1" applyProtection="1">
      <alignment vertical="center"/>
      <protection locked="0"/>
    </xf>
    <xf numFmtId="3" fontId="20" fillId="0" borderId="17" xfId="125" applyNumberFormat="1" applyFont="1" applyFill="1" applyBorder="1" applyAlignment="1" applyProtection="1">
      <alignment horizontal="right" vertical="center" wrapText="1"/>
      <protection hidden="1"/>
    </xf>
    <xf numFmtId="0" fontId="20" fillId="0" borderId="30" xfId="125" applyFont="1" applyFill="1" applyBorder="1" applyAlignment="1" applyProtection="1">
      <alignment horizontal="center" vertical="center"/>
      <protection locked="0"/>
    </xf>
    <xf numFmtId="0" fontId="20" fillId="0" borderId="23" xfId="125" applyFont="1" applyFill="1" applyBorder="1" applyAlignment="1" applyProtection="1">
      <alignment horizontal="center" vertical="center"/>
      <protection locked="0"/>
    </xf>
    <xf numFmtId="190" fontId="20" fillId="0" borderId="17" xfId="125" applyNumberFormat="1" applyFont="1" applyFill="1" applyBorder="1" applyAlignment="1" applyProtection="1">
      <alignment horizontal="right" vertical="center"/>
      <protection hidden="1"/>
    </xf>
    <xf numFmtId="169" fontId="20" fillId="0" borderId="17" xfId="125" applyNumberFormat="1" applyFont="1" applyFill="1" applyBorder="1" applyAlignment="1" applyProtection="1">
      <alignment horizontal="right" vertical="center"/>
      <protection hidden="1"/>
    </xf>
    <xf numFmtId="4" fontId="20" fillId="0" borderId="17" xfId="125" applyNumberFormat="1" applyFont="1" applyFill="1" applyBorder="1" applyAlignment="1" applyProtection="1">
      <alignment horizontal="center" vertical="center"/>
      <protection locked="0"/>
    </xf>
    <xf numFmtId="4" fontId="20" fillId="0" borderId="30" xfId="125" applyNumberFormat="1" applyFont="1" applyFill="1" applyBorder="1" applyAlignment="1" applyProtection="1">
      <alignment vertical="center"/>
      <protection locked="0"/>
    </xf>
    <xf numFmtId="223" fontId="20" fillId="0" borderId="17" xfId="78" applyNumberFormat="1" applyFont="1" applyBorder="1" applyAlignment="1" applyProtection="1">
      <alignment horizontal="right" vertical="center"/>
      <protection locked="0"/>
    </xf>
    <xf numFmtId="0" fontId="20" fillId="0" borderId="17" xfId="125" applyFont="1" applyFill="1" applyBorder="1" applyAlignment="1" applyProtection="1">
      <alignment horizontal="justify" vertical="center" wrapText="1"/>
      <protection locked="0"/>
    </xf>
    <xf numFmtId="0" fontId="20" fillId="0" borderId="30" xfId="125" applyFont="1" applyFill="1" applyBorder="1" applyAlignment="1" applyProtection="1">
      <alignment vertical="center"/>
      <protection locked="0"/>
    </xf>
    <xf numFmtId="191" fontId="20" fillId="0" borderId="17" xfId="125" applyNumberFormat="1" applyFont="1" applyFill="1" applyBorder="1" applyAlignment="1" applyProtection="1">
      <alignment vertical="center"/>
      <protection locked="0"/>
    </xf>
    <xf numFmtId="223" fontId="20" fillId="11" borderId="0" xfId="78" applyNumberFormat="1" applyFont="1" applyFill="1" applyBorder="1" applyAlignment="1" applyProtection="1">
      <alignment vertical="center"/>
      <protection locked="0"/>
    </xf>
    <xf numFmtId="0" fontId="20" fillId="0" borderId="22" xfId="125" applyFont="1" applyFill="1" applyBorder="1" applyAlignment="1" applyProtection="1">
      <alignment vertical="center"/>
      <protection locked="0"/>
    </xf>
    <xf numFmtId="43" fontId="20" fillId="0" borderId="17" xfId="78" applyFont="1" applyFill="1" applyBorder="1" applyAlignment="1" applyProtection="1">
      <alignment vertical="center"/>
      <protection locked="0"/>
    </xf>
    <xf numFmtId="2" fontId="20" fillId="0" borderId="30" xfId="125" applyNumberFormat="1" applyFont="1" applyFill="1" applyBorder="1" applyAlignment="1" applyProtection="1">
      <alignment horizontal="center" vertical="center" wrapText="1"/>
      <protection locked="0"/>
    </xf>
    <xf numFmtId="2" fontId="20" fillId="0" borderId="28" xfId="125" applyNumberFormat="1" applyFont="1" applyFill="1" applyBorder="1" applyAlignment="1" applyProtection="1">
      <alignment horizontal="left" vertical="center" wrapText="1"/>
      <protection locked="0"/>
    </xf>
    <xf numFmtId="2" fontId="20" fillId="0" borderId="17" xfId="125" applyNumberFormat="1" applyFont="1" applyFill="1" applyBorder="1" applyAlignment="1" applyProtection="1">
      <alignment horizontal="center" vertical="center" wrapText="1"/>
      <protection locked="0"/>
    </xf>
    <xf numFmtId="2" fontId="20" fillId="0" borderId="28" xfId="125" applyNumberFormat="1" applyFont="1" applyFill="1" applyBorder="1" applyAlignment="1" applyProtection="1">
      <alignment horizontal="center" vertical="center" wrapText="1"/>
      <protection locked="0"/>
    </xf>
    <xf numFmtId="169" fontId="20" fillId="0" borderId="17" xfId="125" applyNumberFormat="1" applyFont="1" applyFill="1" applyBorder="1" applyAlignment="1" applyProtection="1">
      <alignment horizontal="right" vertical="center" wrapText="1"/>
      <protection hidden="1"/>
    </xf>
    <xf numFmtId="0" fontId="20" fillId="0" borderId="17" xfId="125" applyFont="1" applyFill="1" applyBorder="1" applyAlignment="1">
      <alignment horizontal="center" vertical="center" wrapText="1"/>
      <protection/>
    </xf>
    <xf numFmtId="0" fontId="20" fillId="19" borderId="17" xfId="125" applyFont="1" applyFill="1" applyBorder="1" applyAlignment="1" applyProtection="1">
      <alignment horizontal="center" vertical="center"/>
      <protection locked="0"/>
    </xf>
    <xf numFmtId="0" fontId="20" fillId="19" borderId="30" xfId="125" applyFont="1" applyFill="1" applyBorder="1" applyAlignment="1" applyProtection="1">
      <alignment horizontal="center" vertical="center"/>
      <protection locked="0"/>
    </xf>
    <xf numFmtId="4" fontId="20" fillId="0" borderId="30" xfId="125" applyNumberFormat="1" applyFont="1" applyFill="1" applyBorder="1" applyAlignment="1" applyProtection="1">
      <alignment horizontal="right" vertical="center" wrapText="1"/>
      <protection locked="0"/>
    </xf>
    <xf numFmtId="0" fontId="20" fillId="0" borderId="28" xfId="125" applyFont="1" applyFill="1" applyBorder="1" applyAlignment="1" applyProtection="1">
      <alignment horizontal="left" vertical="center" wrapText="1"/>
      <protection locked="0"/>
    </xf>
    <xf numFmtId="0" fontId="20" fillId="0" borderId="17" xfId="125" applyFont="1" applyFill="1" applyBorder="1" applyAlignment="1" applyProtection="1">
      <alignment horizontal="left" vertical="center"/>
      <protection locked="0"/>
    </xf>
    <xf numFmtId="0" fontId="20" fillId="0" borderId="22" xfId="125" applyFont="1" applyFill="1" applyBorder="1" applyAlignment="1">
      <alignment horizontal="center" vertical="center" wrapText="1"/>
      <protection/>
    </xf>
    <xf numFmtId="0" fontId="20" fillId="0" borderId="18" xfId="125" applyFont="1" applyFill="1" applyBorder="1" applyAlignment="1">
      <alignment horizontal="center" vertical="center" wrapText="1"/>
      <protection/>
    </xf>
    <xf numFmtId="0" fontId="20" fillId="0" borderId="9" xfId="125" applyFont="1" applyFill="1" applyBorder="1" applyAlignment="1">
      <alignment horizontal="center" vertical="center" wrapText="1"/>
      <protection/>
    </xf>
    <xf numFmtId="3" fontId="20" fillId="0" borderId="17" xfId="125" applyNumberFormat="1" applyFont="1" applyFill="1" applyBorder="1" applyAlignment="1" applyProtection="1">
      <alignment vertical="center"/>
      <protection hidden="1"/>
    </xf>
    <xf numFmtId="0" fontId="20" fillId="0" borderId="18" xfId="125" applyFont="1" applyFill="1" applyBorder="1" applyAlignment="1" applyProtection="1">
      <alignment horizontal="center" vertical="center"/>
      <protection locked="0"/>
    </xf>
    <xf numFmtId="0" fontId="20" fillId="0" borderId="18" xfId="125" applyFont="1" applyFill="1" applyBorder="1" applyAlignment="1" applyProtection="1">
      <alignment vertical="center"/>
      <protection locked="0"/>
    </xf>
    <xf numFmtId="0" fontId="20" fillId="0" borderId="18" xfId="125" applyFont="1" applyFill="1" applyBorder="1" applyAlignment="1" applyProtection="1">
      <alignment horizontal="left" vertical="center" wrapText="1" indent="1"/>
      <protection locked="0"/>
    </xf>
    <xf numFmtId="191" fontId="20" fillId="0" borderId="18" xfId="125" applyNumberFormat="1" applyFont="1" applyFill="1" applyBorder="1" applyAlignment="1" applyProtection="1">
      <alignment horizontal="right" vertical="center"/>
      <protection hidden="1"/>
    </xf>
    <xf numFmtId="4" fontId="20" fillId="0" borderId="18" xfId="125" applyNumberFormat="1" applyFont="1" applyFill="1" applyBorder="1" applyAlignment="1" applyProtection="1">
      <alignment horizontal="center" vertical="center"/>
      <protection locked="0"/>
    </xf>
    <xf numFmtId="3" fontId="20" fillId="0" borderId="18" xfId="125" applyNumberFormat="1" applyFont="1" applyFill="1" applyBorder="1" applyAlignment="1" applyProtection="1">
      <alignment horizontal="right" vertical="center"/>
      <protection hidden="1"/>
    </xf>
    <xf numFmtId="4" fontId="20" fillId="0" borderId="31" xfId="125" applyNumberFormat="1" applyFont="1" applyFill="1" applyBorder="1" applyAlignment="1" applyProtection="1">
      <alignment vertical="center"/>
      <protection locked="0"/>
    </xf>
    <xf numFmtId="0" fontId="20" fillId="0" borderId="32" xfId="125" applyFont="1" applyFill="1" applyBorder="1" applyAlignment="1" applyProtection="1">
      <alignment vertical="center"/>
      <protection locked="0"/>
    </xf>
    <xf numFmtId="2" fontId="20" fillId="0" borderId="18" xfId="125" applyNumberFormat="1" applyFont="1" applyFill="1" applyBorder="1" applyAlignment="1" applyProtection="1">
      <alignment horizontal="center" vertical="center"/>
      <protection locked="0"/>
    </xf>
    <xf numFmtId="169" fontId="20" fillId="0" borderId="18" xfId="125" applyNumberFormat="1" applyFont="1" applyFill="1" applyBorder="1" applyAlignment="1" applyProtection="1">
      <alignment horizontal="right" vertical="center"/>
      <protection hidden="1"/>
    </xf>
    <xf numFmtId="3" fontId="20" fillId="0" borderId="18" xfId="125" applyNumberFormat="1" applyFont="1" applyFill="1" applyBorder="1" applyAlignment="1" applyProtection="1">
      <alignment vertical="center"/>
      <protection hidden="1"/>
    </xf>
    <xf numFmtId="191" fontId="20" fillId="0" borderId="18" xfId="125" applyNumberFormat="1" applyFont="1" applyFill="1" applyBorder="1" applyAlignment="1" applyProtection="1">
      <alignment horizontal="right" vertical="center"/>
      <protection locked="0"/>
    </xf>
    <xf numFmtId="3" fontId="20" fillId="0" borderId="18" xfId="125" applyNumberFormat="1" applyFont="1" applyFill="1" applyBorder="1" applyAlignment="1" applyProtection="1">
      <alignment vertical="center"/>
      <protection locked="0"/>
    </xf>
    <xf numFmtId="0" fontId="20" fillId="0" borderId="9" xfId="125" applyFont="1" applyFill="1" applyBorder="1" applyAlignment="1" applyProtection="1">
      <alignment horizontal="center" vertical="center"/>
      <protection locked="0"/>
    </xf>
    <xf numFmtId="0" fontId="20" fillId="0" borderId="9" xfId="125" applyFont="1" applyFill="1" applyBorder="1" applyAlignment="1" applyProtection="1">
      <alignment vertical="center"/>
      <protection locked="0"/>
    </xf>
    <xf numFmtId="0" fontId="20" fillId="0" borderId="9" xfId="125" applyFont="1" applyFill="1" applyBorder="1" applyAlignment="1" applyProtection="1">
      <alignment horizontal="left" vertical="center" wrapText="1" indent="1"/>
      <protection locked="0"/>
    </xf>
    <xf numFmtId="191" fontId="20" fillId="0" borderId="9" xfId="125" applyNumberFormat="1" applyFont="1" applyFill="1" applyBorder="1" applyAlignment="1" applyProtection="1">
      <alignment horizontal="right" vertical="center"/>
      <protection hidden="1"/>
    </xf>
    <xf numFmtId="4" fontId="20" fillId="0" borderId="9" xfId="125" applyNumberFormat="1" applyFont="1" applyFill="1" applyBorder="1" applyAlignment="1" applyProtection="1">
      <alignment horizontal="center" vertical="center"/>
      <protection locked="0"/>
    </xf>
    <xf numFmtId="3" fontId="20" fillId="0" borderId="9" xfId="125" applyNumberFormat="1" applyFont="1" applyFill="1" applyBorder="1" applyAlignment="1" applyProtection="1">
      <alignment horizontal="right" vertical="center"/>
      <protection hidden="1"/>
    </xf>
    <xf numFmtId="4" fontId="20" fillId="0" borderId="15" xfId="125" applyNumberFormat="1" applyFont="1" applyFill="1" applyBorder="1" applyAlignment="1" applyProtection="1">
      <alignment vertical="center"/>
      <protection locked="0"/>
    </xf>
    <xf numFmtId="0" fontId="20" fillId="0" borderId="19" xfId="125" applyFont="1" applyFill="1" applyBorder="1" applyAlignment="1" applyProtection="1">
      <alignment vertical="center"/>
      <protection locked="0"/>
    </xf>
    <xf numFmtId="2" fontId="20" fillId="0" borderId="9" xfId="125" applyNumberFormat="1" applyFont="1" applyFill="1" applyBorder="1" applyAlignment="1" applyProtection="1">
      <alignment horizontal="center" vertical="center"/>
      <protection locked="0"/>
    </xf>
    <xf numFmtId="169" fontId="20" fillId="0" borderId="9" xfId="125" applyNumberFormat="1" applyFont="1" applyFill="1" applyBorder="1" applyAlignment="1" applyProtection="1">
      <alignment horizontal="right" vertical="center"/>
      <protection hidden="1"/>
    </xf>
    <xf numFmtId="3" fontId="20" fillId="0" borderId="9" xfId="125" applyNumberFormat="1" applyFont="1" applyFill="1" applyBorder="1" applyAlignment="1" applyProtection="1">
      <alignment vertical="center"/>
      <protection hidden="1"/>
    </xf>
    <xf numFmtId="3" fontId="20" fillId="0" borderId="9" xfId="125" applyNumberFormat="1" applyFont="1" applyFill="1" applyBorder="1" applyAlignment="1" applyProtection="1">
      <alignment vertical="center"/>
      <protection locked="0"/>
    </xf>
    <xf numFmtId="223" fontId="20" fillId="0" borderId="0" xfId="78" applyNumberFormat="1" applyFont="1" applyFill="1" applyAlignment="1">
      <alignment/>
    </xf>
    <xf numFmtId="0" fontId="101" fillId="0" borderId="15" xfId="125" applyFont="1" applyFill="1" applyBorder="1" applyAlignment="1" applyProtection="1">
      <alignment horizontal="centerContinuous" vertical="center"/>
      <protection locked="0"/>
    </xf>
    <xf numFmtId="0" fontId="101" fillId="0" borderId="5" xfId="125" applyFont="1" applyFill="1" applyBorder="1" applyAlignment="1" applyProtection="1">
      <alignment horizontal="centerContinuous" vertical="center"/>
      <protection locked="0"/>
    </xf>
    <xf numFmtId="0" fontId="101" fillId="0" borderId="9" xfId="125" applyFont="1" applyFill="1" applyBorder="1" applyAlignment="1" applyProtection="1">
      <alignment horizontal="center" vertical="center" wrapText="1"/>
      <protection locked="0"/>
    </xf>
    <xf numFmtId="169" fontId="101" fillId="0" borderId="9" xfId="125" applyNumberFormat="1" applyFont="1" applyFill="1" applyBorder="1" applyAlignment="1" applyProtection="1">
      <alignment horizontal="center" vertical="center" wrapText="1"/>
      <protection locked="0"/>
    </xf>
    <xf numFmtId="0" fontId="101" fillId="0" borderId="5" xfId="125" applyFont="1" applyFill="1" applyBorder="1" applyAlignment="1" applyProtection="1">
      <alignment horizontal="centerContinuous" vertical="center" wrapText="1"/>
      <protection locked="0"/>
    </xf>
    <xf numFmtId="169" fontId="101" fillId="0" borderId="5" xfId="125" applyNumberFormat="1" applyFont="1" applyFill="1" applyBorder="1" applyAlignment="1" applyProtection="1">
      <alignment horizontal="centerContinuous" vertical="center" wrapText="1"/>
      <protection locked="0"/>
    </xf>
    <xf numFmtId="169" fontId="101" fillId="0" borderId="19" xfId="125" applyNumberFormat="1" applyFont="1" applyFill="1" applyBorder="1" applyAlignment="1" applyProtection="1">
      <alignment horizontal="centerContinuous" vertical="center" wrapText="1"/>
      <protection locked="0"/>
    </xf>
    <xf numFmtId="0" fontId="20" fillId="0" borderId="12" xfId="129" applyFont="1" applyFill="1" applyBorder="1" applyAlignment="1">
      <alignment horizontal="center" vertical="center"/>
      <protection/>
    </xf>
    <xf numFmtId="0" fontId="20" fillId="0" borderId="17" xfId="129" applyFont="1" applyFill="1" applyBorder="1" applyAlignment="1">
      <alignment horizontal="center" vertical="center"/>
      <protection/>
    </xf>
    <xf numFmtId="0" fontId="20" fillId="0" borderId="18" xfId="129" applyFont="1" applyFill="1" applyBorder="1" applyAlignment="1">
      <alignment horizontal="center" vertical="center"/>
      <protection/>
    </xf>
    <xf numFmtId="9" fontId="20" fillId="0" borderId="33" xfId="139" applyNumberFormat="1" applyFont="1" applyBorder="1" applyAlignment="1">
      <alignment horizontal="center" vertical="center"/>
    </xf>
    <xf numFmtId="9" fontId="20" fillId="0" borderId="25" xfId="139" applyNumberFormat="1" applyFont="1" applyBorder="1" applyAlignment="1">
      <alignment horizontal="center" vertical="center"/>
    </xf>
    <xf numFmtId="0" fontId="0" fillId="0" borderId="20" xfId="0" applyBorder="1" applyAlignment="1">
      <alignment horizontal="center" vertical="center"/>
    </xf>
    <xf numFmtId="0" fontId="20" fillId="0" borderId="12" xfId="129" applyFont="1" applyBorder="1" applyAlignment="1">
      <alignment horizontal="center" vertical="center"/>
      <protection/>
    </xf>
    <xf numFmtId="0" fontId="20" fillId="0" borderId="18" xfId="129" applyFont="1" applyBorder="1" applyAlignment="1">
      <alignment horizontal="center" vertical="center"/>
      <protection/>
    </xf>
    <xf numFmtId="178" fontId="20" fillId="0" borderId="12" xfId="139" applyNumberFormat="1" applyFont="1" applyBorder="1" applyAlignment="1">
      <alignment horizontal="center" vertical="center"/>
    </xf>
    <xf numFmtId="178" fontId="20" fillId="0" borderId="18" xfId="139" applyNumberFormat="1" applyFont="1" applyBorder="1" applyAlignment="1">
      <alignment horizontal="center" vertical="center"/>
    </xf>
    <xf numFmtId="9" fontId="20" fillId="0" borderId="12" xfId="139" applyNumberFormat="1" applyFont="1" applyBorder="1" applyAlignment="1">
      <alignment horizontal="center" vertical="center"/>
    </xf>
    <xf numFmtId="9" fontId="20" fillId="0" borderId="18" xfId="139" applyNumberFormat="1" applyFont="1" applyBorder="1" applyAlignment="1">
      <alignment horizontal="center" vertical="center"/>
    </xf>
    <xf numFmtId="0" fontId="20" fillId="0" borderId="33" xfId="129" applyFont="1" applyBorder="1" applyAlignment="1">
      <alignment horizontal="center" vertical="center"/>
      <protection/>
    </xf>
    <xf numFmtId="0" fontId="20" fillId="0" borderId="20" xfId="129" applyFont="1" applyBorder="1" applyAlignment="1">
      <alignment horizontal="center" vertical="center"/>
      <protection/>
    </xf>
    <xf numFmtId="164" fontId="43" fillId="8" borderId="33" xfId="126" applyNumberFormat="1" applyFont="1" applyFill="1" applyBorder="1" applyAlignment="1">
      <alignment horizontal="center" vertical="center" wrapText="1"/>
      <protection/>
    </xf>
    <xf numFmtId="164" fontId="43" fillId="8" borderId="25" xfId="126" applyNumberFormat="1" applyFont="1" applyFill="1" applyBorder="1" applyAlignment="1">
      <alignment horizontal="center" vertical="center" wrapText="1"/>
      <protection/>
    </xf>
    <xf numFmtId="0" fontId="47" fillId="0" borderId="20" xfId="126" applyBorder="1" applyAlignment="1">
      <alignment vertical="center"/>
      <protection/>
    </xf>
    <xf numFmtId="164" fontId="43" fillId="8" borderId="34" xfId="126" applyNumberFormat="1" applyFont="1" applyFill="1" applyBorder="1" applyAlignment="1">
      <alignment horizontal="center" vertical="center" wrapText="1"/>
      <protection/>
    </xf>
    <xf numFmtId="164" fontId="43" fillId="8" borderId="35" xfId="126" applyNumberFormat="1" applyFont="1" applyFill="1" applyBorder="1" applyAlignment="1">
      <alignment horizontal="center" vertical="center" wrapText="1"/>
      <protection/>
    </xf>
    <xf numFmtId="0" fontId="47" fillId="0" borderId="36" xfId="126" applyBorder="1" applyAlignment="1">
      <alignment vertical="center"/>
      <protection/>
    </xf>
    <xf numFmtId="164" fontId="43" fillId="8" borderId="20" xfId="126" applyNumberFormat="1" applyFont="1" applyFill="1" applyBorder="1" applyAlignment="1">
      <alignment horizontal="center" vertical="center" wrapText="1"/>
      <protection/>
    </xf>
    <xf numFmtId="0" fontId="101" fillId="0" borderId="33" xfId="125" applyFont="1" applyFill="1" applyBorder="1" applyAlignment="1" applyProtection="1">
      <alignment horizontal="center" vertical="center" wrapText="1"/>
      <protection locked="0"/>
    </xf>
    <xf numFmtId="0" fontId="101" fillId="0" borderId="20" xfId="125" applyFont="1" applyFill="1" applyBorder="1" applyAlignment="1" applyProtection="1">
      <alignment horizontal="center" vertical="center" wrapText="1"/>
      <protection locked="0"/>
    </xf>
    <xf numFmtId="0" fontId="101" fillId="0" borderId="20" xfId="125" applyFont="1" applyFill="1" applyBorder="1" applyAlignment="1">
      <alignment horizontal="center" vertical="center" wrapText="1"/>
      <protection/>
    </xf>
    <xf numFmtId="0" fontId="101" fillId="0" borderId="15" xfId="125" applyFont="1" applyFill="1" applyBorder="1" applyAlignment="1" applyProtection="1">
      <alignment horizontal="center" vertical="center" wrapText="1"/>
      <protection locked="0"/>
    </xf>
    <xf numFmtId="0" fontId="101" fillId="0" borderId="19" xfId="125" applyFont="1" applyFill="1" applyBorder="1" applyAlignment="1" applyProtection="1">
      <alignment horizontal="center" vertical="center" wrapText="1"/>
      <protection locked="0"/>
    </xf>
    <xf numFmtId="0" fontId="20" fillId="0" borderId="17" xfId="125" applyFont="1" applyFill="1" applyBorder="1" applyAlignment="1" applyProtection="1">
      <alignment vertical="center"/>
      <protection locked="0"/>
    </xf>
    <xf numFmtId="3" fontId="20" fillId="0" borderId="0" xfId="125" applyNumberFormat="1" applyFont="1" applyFill="1" applyBorder="1" applyAlignment="1" applyProtection="1">
      <alignment vertical="center"/>
      <protection locked="0"/>
    </xf>
    <xf numFmtId="0" fontId="101" fillId="0" borderId="33" xfId="125" applyFont="1" applyFill="1" applyBorder="1" applyAlignment="1">
      <alignment horizontal="center" vertical="center" wrapText="1"/>
      <protection/>
    </xf>
    <xf numFmtId="0" fontId="20" fillId="0" borderId="37" xfId="125" applyFont="1" applyFill="1" applyBorder="1" applyAlignment="1" applyProtection="1">
      <alignment horizontal="center" vertical="center" wrapText="1"/>
      <protection locked="0"/>
    </xf>
  </cellXfs>
  <cellStyles count="166">
    <cellStyle name="Normal" xfId="0"/>
    <cellStyle name="RowLevel_0" xfId="1"/>
    <cellStyle name="ColLevel_0" xfId="2"/>
    <cellStyle name="RowLevel_1" xfId="3"/>
    <cellStyle name="RowLevel_2" xfId="5"/>
    <cellStyle name="          &#13;&#10;shell=progman.exe&#13;&#10;m" xfId="15"/>
    <cellStyle name="??" xfId="16"/>
    <cellStyle name="?? [0.00]_PRODUCT DETAIL Q1" xfId="17"/>
    <cellStyle name="?? [0]" xfId="18"/>
    <cellStyle name="???? [0.00]_PRODUCT DETAIL Q1" xfId="19"/>
    <cellStyle name="????_PRODUCT DETAIL Q1" xfId="20"/>
    <cellStyle name="???[0]_Book1" xfId="21"/>
    <cellStyle name="???_???" xfId="22"/>
    <cellStyle name="??_(????)??????" xfId="23"/>
    <cellStyle name="_Tong hop may cheu nganh 1" xfId="24"/>
    <cellStyle name="•W€_STDFOR" xfId="25"/>
    <cellStyle name="W_STDFOR" xfId="26"/>
    <cellStyle name="1" xfId="27"/>
    <cellStyle name="¹éºÐÀ²_±âÅ¸" xfId="28"/>
    <cellStyle name="2" xfId="29"/>
    <cellStyle name="20" xfId="30"/>
    <cellStyle name="20% - Accent1" xfId="31"/>
    <cellStyle name="20% - Accent2" xfId="32"/>
    <cellStyle name="20% - Accent3" xfId="33"/>
    <cellStyle name="20% - Accent4" xfId="34"/>
    <cellStyle name="20% - Accent5" xfId="35"/>
    <cellStyle name="20% - Accent6" xfId="36"/>
    <cellStyle name="3" xfId="37"/>
    <cellStyle name="4" xfId="38"/>
    <cellStyle name="40% - Accent1" xfId="39"/>
    <cellStyle name="40% - Accent2" xfId="40"/>
    <cellStyle name="40% - Accent3" xfId="41"/>
    <cellStyle name="40% - Accent4" xfId="42"/>
    <cellStyle name="40% - Accent5" xfId="43"/>
    <cellStyle name="40% - Accent6" xfId="44"/>
    <cellStyle name="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ÅëÈ­ [0]_¿ì¹°Åë" xfId="58"/>
    <cellStyle name="AeE­ [0]_INQUIRY ¿µ¾÷AßAø " xfId="59"/>
    <cellStyle name="ÅëÈ­ [0]_Sheet1" xfId="60"/>
    <cellStyle name="ÅëÈ­_¿ì¹°Åë" xfId="61"/>
    <cellStyle name="AeE­_INQUIRY ¿µ¾÷AßAø " xfId="62"/>
    <cellStyle name="ÅëÈ­_Sheet1" xfId="63"/>
    <cellStyle name="ÄÞ¸¶ [0]_¿ì¹°Åë" xfId="64"/>
    <cellStyle name="AÞ¸¶ [0]_INQUIRY ¿?¾÷AßAø " xfId="65"/>
    <cellStyle name="ÄÞ¸¶ [0]_L601CPT" xfId="66"/>
    <cellStyle name="ÄÞ¸¶_¿ì¹°Åë" xfId="67"/>
    <cellStyle name="AÞ¸¶_INQUIRY ¿?¾÷AßAø " xfId="68"/>
    <cellStyle name="ÄÞ¸¶_L601CPT" xfId="69"/>
    <cellStyle name="Bad" xfId="70"/>
    <cellStyle name="C?AØ_¿?¾÷CoE² " xfId="71"/>
    <cellStyle name="Ç¥ÁØ_#2(M17)_1" xfId="72"/>
    <cellStyle name="C￥AØ_¿μ¾÷CoE² " xfId="73"/>
    <cellStyle name="Ç¥ÁØ_±³°¢¼ö·®" xfId="74"/>
    <cellStyle name="Calculation" xfId="75"/>
    <cellStyle name="category" xfId="76"/>
    <cellStyle name="Check Cell" xfId="77"/>
    <cellStyle name="Comma" xfId="78"/>
    <cellStyle name="Comma [0]" xfId="79"/>
    <cellStyle name="comma zerodec" xfId="80"/>
    <cellStyle name="Comma0" xfId="81"/>
    <cellStyle name="Currency" xfId="82"/>
    <cellStyle name="Currency [0]" xfId="83"/>
    <cellStyle name="Currency0" xfId="84"/>
    <cellStyle name="Currency1" xfId="85"/>
    <cellStyle name="D1" xfId="86"/>
    <cellStyle name="Date" xfId="87"/>
    <cellStyle name="Dezimal [0]_UXO VII" xfId="88"/>
    <cellStyle name="Dezimal_UXO VII" xfId="89"/>
    <cellStyle name="Dollar (zero dec)" xfId="90"/>
    <cellStyle name="e" xfId="91"/>
    <cellStyle name="Explanatory Text" xfId="92"/>
    <cellStyle name="f" xfId="93"/>
    <cellStyle name="Fixed" xfId="94"/>
    <cellStyle name="Followed Hyperlink" xfId="95"/>
    <cellStyle name="Good" xfId="96"/>
    <cellStyle name="Grey" xfId="97"/>
    <cellStyle name="HEADER" xfId="98"/>
    <cellStyle name="Header1" xfId="99"/>
    <cellStyle name="Header2" xfId="100"/>
    <cellStyle name="Heading 1" xfId="101"/>
    <cellStyle name="Heading 2" xfId="102"/>
    <cellStyle name="Heading 3" xfId="103"/>
    <cellStyle name="Heading 4" xfId="104"/>
    <cellStyle name="Heading1" xfId="105"/>
    <cellStyle name="Heading2" xfId="106"/>
    <cellStyle name="Hyperlink" xfId="107"/>
    <cellStyle name="Input" xfId="108"/>
    <cellStyle name="Input [yellow]" xfId="109"/>
    <cellStyle name="Linked Cell" xfId="110"/>
    <cellStyle name="Millares [0]_Well Timing" xfId="111"/>
    <cellStyle name="Millares_Well Timing" xfId="112"/>
    <cellStyle name="Model" xfId="113"/>
    <cellStyle name="moi" xfId="114"/>
    <cellStyle name="Moneda [0]_Well Timing" xfId="115"/>
    <cellStyle name="Moneda_Well Timing" xfId="116"/>
    <cellStyle name="Monétaire [0]_TARIFFS DB" xfId="117"/>
    <cellStyle name="Monétaire_TARIFFS DB" xfId="118"/>
    <cellStyle name="n" xfId="119"/>
    <cellStyle name="Neutral" xfId="120"/>
    <cellStyle name="New Times Roman" xfId="121"/>
    <cellStyle name="no dec" xfId="122"/>
    <cellStyle name="Normal - Style1" xfId="123"/>
    <cellStyle name="Normal 2" xfId="124"/>
    <cellStyle name="Normal_Bang tinh GCM Cong ty GXD" xfId="125"/>
    <cellStyle name="Normal_DuthauGXD-template2" xfId="126"/>
    <cellStyle name="Normal_DUTOAN1" xfId="127"/>
    <cellStyle name="Normal_gia ca may-bluong" xfId="128"/>
    <cellStyle name="Normal_Mau TH theo 04" xfId="129"/>
    <cellStyle name="Normal1" xfId="130"/>
    <cellStyle name="Note" xfId="131"/>
    <cellStyle name="Œ…‹æØ‚è [0.00]_laroux" xfId="132"/>
    <cellStyle name="Œ…‹æØ‚è_laroux" xfId="133"/>
    <cellStyle name="oft Excel]&#13;&#10;Comment=The open=/f lines load custom functions into the Paste Function list.&#13;&#10;Maximized=2&#13;&#10;Basics=1&#13;&#10;A" xfId="134"/>
    <cellStyle name="oft Excel]&#13;&#10;Comment=The open=/f lines load custom functions into the Paste Function list.&#13;&#10;Maximized=3&#13;&#10;Basics=1&#13;&#10;A" xfId="135"/>
    <cellStyle name="omma [0]_Mktg Prog" xfId="136"/>
    <cellStyle name="ormal_Sheet1_1" xfId="137"/>
    <cellStyle name="Output" xfId="138"/>
    <cellStyle name="Percent" xfId="139"/>
    <cellStyle name="Percent [2]" xfId="140"/>
    <cellStyle name="s]&#13;&#10;spooler=yes&#13;&#10;load=&#13;&#10;Beep=yes&#13;&#10;NullPort=None&#13;&#10;BorderWidth=3&#13;&#10;CursorBlinkRate=1200&#13;&#10;DoubleClickSpeed=452&#13;&#10;Programs=co" xfId="141"/>
    <cellStyle name="Style 1" xfId="142"/>
    <cellStyle name="style_1" xfId="143"/>
    <cellStyle name="subhead" xfId="144"/>
    <cellStyle name="T" xfId="145"/>
    <cellStyle name="th" xfId="146"/>
    <cellStyle name="þ_x001D_ð·_x000C_æþ'&#13;ßþU_x0001_Ø_x0005_ü_x0014__x0007__x0001__x0001_" xfId="147"/>
    <cellStyle name="þ_x001D_ðÇ%Uý—&amp;Hý9_x0008_Ÿ s&#10;_x0007__x0001__x0001_" xfId="148"/>
    <cellStyle name="Title" xfId="149"/>
    <cellStyle name="Total" xfId="150"/>
    <cellStyle name="viet" xfId="151"/>
    <cellStyle name="viet2" xfId="152"/>
    <cellStyle name="Währung [0]_UXO VII" xfId="153"/>
    <cellStyle name="Währung_UXO VII" xfId="154"/>
    <cellStyle name="Warning Text" xfId="155"/>
    <cellStyle name=" [0.00]_ Att. 1- Cover" xfId="156"/>
    <cellStyle name="_ Att. 1- Cover" xfId="157"/>
    <cellStyle name="?_ Att. 1- Cover" xfId="158"/>
    <cellStyle name="똿뗦먛귟 [0.00]_PRODUCT DETAIL Q1" xfId="159"/>
    <cellStyle name="똿뗦먛귟_PRODUCT DETAIL Q1" xfId="160"/>
    <cellStyle name="믅됞 [0.00]_PRODUCT DETAIL Q1" xfId="161"/>
    <cellStyle name="믅됞_PRODUCT DETAIL Q1" xfId="162"/>
    <cellStyle name="백분율_95" xfId="163"/>
    <cellStyle name="뷭?_BOOKSHIP" xfId="164"/>
    <cellStyle name="콤마 [0]_ 비목별 월별기술 " xfId="165"/>
    <cellStyle name="콤마_ 비목별 월별기술 " xfId="166"/>
    <cellStyle name="통화 [0]_1202" xfId="167"/>
    <cellStyle name="통화_1202" xfId="168"/>
    <cellStyle name="표준_(정보부문)월별인원계획" xfId="169"/>
    <cellStyle name="一般_00Q3902REV.1" xfId="170"/>
    <cellStyle name="千分位[0]_00Q3902REV.1" xfId="171"/>
    <cellStyle name="千分位_00Q3902REV.1" xfId="172"/>
    <cellStyle name="貨幣 [0]_00Q3902REV.1" xfId="173"/>
    <cellStyle name="貨幣[0]_BRE" xfId="174"/>
    <cellStyle name="貨幣_00Q3902REV.1" xfId="1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iaxaydung.vn/diendan/forums/467-cong-dong-su-dung-va-phat-trien-phan-mem-du-toan-gxd.gxd" TargetMode="External" /><Relationship Id="rId2" Type="http://schemas.openxmlformats.org/officeDocument/2006/relationships/hyperlink" Target="http://giaxaydung.vn/diendan/forums/464-bo-cai-du-lieu-dinh-muc-don-gia.gxd" TargetMode="External" /><Relationship Id="rId3" Type="http://schemas.openxmlformats.org/officeDocument/2006/relationships/hyperlink" Target="http://giaxaydung.vn/diendan/forums/459-giao-dien-do-nguoi-dung-thiet-ke.gxd" TargetMode="External" /><Relationship Id="rId4" Type="http://schemas.openxmlformats.org/officeDocument/2006/relationships/hyperlink" Target="http://giaxaydung.vn/diendan/forums/462-cong-cu-nguoi-su-dung-tao-them.gxd" TargetMode="External" /><Relationship Id="rId5" Type="http://schemas.openxmlformats.org/officeDocument/2006/relationships/hyperlink" Target="http://giaxaydung.vn/diendan/forums/418-lap-trinh-vba-macro4-trong-excel.gxd" TargetMode="External" /><Relationship Id="rId6" Type="http://schemas.openxmlformats.org/officeDocument/2006/relationships/hyperlink" Target="http://giaxaydung.vn/diendan/forums/465-huong-dan-chia-se-kinh-nghiem-su-dung-du-toan-gxd.gxd" TargetMode="External" /><Relationship Id="rId7" Type="http://schemas.openxmlformats.org/officeDocument/2006/relationships/hyperlink" Target="http://giaxaydung.vn/diendan/forums/192-cong-bo-gia-vat-lieu-dia-phuong.gxd" TargetMode="External" /><Relationship Id="rId8" Type="http://schemas.openxmlformats.org/officeDocument/2006/relationships/hyperlink" Target="http://giaxaydung.vn/diendan/forums/369-du-lieu-gia-va-chi-phi-xay-dung-cong-trinh.gxd" TargetMode="External" /><Relationship Id="rId9" Type="http://schemas.openxmlformats.org/officeDocument/2006/relationships/hyperlink" Target="http://giaxaydung.vn/diendan/forums/15-quan-ly-chi-phi-dau-tu-xay-dung.gxd" TargetMode="External" /><Relationship Id="rId10" Type="http://schemas.openxmlformats.org/officeDocument/2006/relationships/hyperlink" Target="http://giaxaydung.vn/diendan/forums/162-quang-cao-tiep-thi-bao-gia-vat-lieu-xay-dung.gxd"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axaydung.vn/" TargetMode="External" /><Relationship Id="rId2" Type="http://schemas.openxmlformats.org/officeDocument/2006/relationships/hyperlink" Target="http://www.thuvien.giaxaydung.vn/" TargetMode="External" /><Relationship Id="rId3" Type="http://schemas.openxmlformats.org/officeDocument/2006/relationships/hyperlink" Target="http://www.tracnghiem.giaxaydung.vn/"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F16" sqref="F16"/>
    </sheetView>
  </sheetViews>
  <sheetFormatPr defaultColWidth="9.140625" defaultRowHeight="15"/>
  <cols>
    <col min="1" max="1" width="6.28125" style="0" customWidth="1"/>
    <col min="2" max="2" width="62.7109375" style="0" customWidth="1"/>
    <col min="3" max="3" width="17.8515625" style="0" customWidth="1"/>
    <col min="5" max="5" width="5.7109375" style="0" customWidth="1"/>
    <col min="6" max="6" width="75.7109375" style="0" customWidth="1"/>
  </cols>
  <sheetData>
    <row r="1" spans="1:6" ht="27.75" customHeight="1">
      <c r="A1" s="13" t="s">
        <v>1468</v>
      </c>
      <c r="B1" s="13"/>
      <c r="C1" s="13"/>
      <c r="E1" s="13" t="s">
        <v>1264</v>
      </c>
      <c r="F1" s="13"/>
    </row>
    <row r="2" spans="1:6" ht="18.75">
      <c r="A2" s="95" t="s">
        <v>1496</v>
      </c>
      <c r="B2" s="90"/>
      <c r="C2" s="90"/>
      <c r="E2" s="95" t="s">
        <v>1258</v>
      </c>
      <c r="F2" s="90"/>
    </row>
    <row r="3" spans="1:6" ht="17.25" customHeight="1">
      <c r="A3" s="89" t="s">
        <v>1268</v>
      </c>
      <c r="B3" s="89" t="s">
        <v>1457</v>
      </c>
      <c r="C3" s="89" t="s">
        <v>1442</v>
      </c>
      <c r="E3" s="227">
        <v>1</v>
      </c>
      <c r="F3" s="228" t="s">
        <v>1257</v>
      </c>
    </row>
    <row r="4" spans="1:6" ht="18.75">
      <c r="A4" s="91">
        <v>1</v>
      </c>
      <c r="B4" s="92" t="s">
        <v>135</v>
      </c>
      <c r="C4" s="93" t="s">
        <v>1443</v>
      </c>
      <c r="E4" s="91">
        <v>2</v>
      </c>
      <c r="F4" s="92" t="s">
        <v>1253</v>
      </c>
    </row>
    <row r="5" spans="1:6" ht="18.75">
      <c r="A5" s="91">
        <v>2</v>
      </c>
      <c r="B5" s="92" t="s">
        <v>1470</v>
      </c>
      <c r="C5" s="93" t="s">
        <v>1444</v>
      </c>
      <c r="E5" s="91">
        <v>3</v>
      </c>
      <c r="F5" s="92" t="s">
        <v>1254</v>
      </c>
    </row>
    <row r="6" spans="1:6" ht="18.75">
      <c r="A6" s="91">
        <v>3</v>
      </c>
      <c r="B6" s="92" t="s">
        <v>1469</v>
      </c>
      <c r="C6" s="93" t="s">
        <v>1445</v>
      </c>
      <c r="E6" s="91">
        <v>4</v>
      </c>
      <c r="F6" s="92" t="s">
        <v>1259</v>
      </c>
    </row>
    <row r="7" spans="1:6" ht="18.75">
      <c r="A7" s="91">
        <v>4</v>
      </c>
      <c r="B7" s="92" t="s">
        <v>1471</v>
      </c>
      <c r="C7" s="93" t="s">
        <v>1446</v>
      </c>
      <c r="E7" s="91">
        <v>5</v>
      </c>
      <c r="F7" s="92" t="s">
        <v>1255</v>
      </c>
    </row>
    <row r="8" spans="1:6" ht="18.75">
      <c r="A8" s="91">
        <v>5</v>
      </c>
      <c r="B8" s="92" t="s">
        <v>1472</v>
      </c>
      <c r="C8" s="93" t="s">
        <v>1447</v>
      </c>
      <c r="E8" s="91">
        <v>6</v>
      </c>
      <c r="F8" s="92" t="s">
        <v>1256</v>
      </c>
    </row>
    <row r="9" spans="1:6" ht="18.75">
      <c r="A9" s="91">
        <v>6</v>
      </c>
      <c r="B9" s="92" t="s">
        <v>1473</v>
      </c>
      <c r="C9" s="93" t="s">
        <v>1447</v>
      </c>
      <c r="E9" s="91">
        <v>7</v>
      </c>
      <c r="F9" s="92" t="s">
        <v>1260</v>
      </c>
    </row>
    <row r="10" spans="1:6" ht="18.75">
      <c r="A10" s="91">
        <v>7</v>
      </c>
      <c r="B10" s="92" t="s">
        <v>1474</v>
      </c>
      <c r="C10" s="93" t="s">
        <v>1447</v>
      </c>
      <c r="E10" s="91">
        <v>8</v>
      </c>
      <c r="F10" s="92" t="s">
        <v>1261</v>
      </c>
    </row>
    <row r="11" spans="1:6" ht="18.75">
      <c r="A11" s="91">
        <v>8</v>
      </c>
      <c r="B11" s="92" t="s">
        <v>138</v>
      </c>
      <c r="C11" s="93" t="s">
        <v>139</v>
      </c>
      <c r="E11" s="91">
        <v>9</v>
      </c>
      <c r="F11" s="92" t="s">
        <v>1262</v>
      </c>
    </row>
    <row r="12" spans="1:6" ht="18.75">
      <c r="A12" s="91">
        <v>9</v>
      </c>
      <c r="B12" s="92" t="s">
        <v>1475</v>
      </c>
      <c r="C12" s="93" t="s">
        <v>1493</v>
      </c>
      <c r="E12" s="91">
        <v>10</v>
      </c>
      <c r="F12" s="92" t="s">
        <v>1263</v>
      </c>
    </row>
    <row r="13" spans="1:3" ht="18.75">
      <c r="A13" s="91">
        <v>10</v>
      </c>
      <c r="B13" s="92" t="s">
        <v>378</v>
      </c>
      <c r="C13" s="93" t="s">
        <v>379</v>
      </c>
    </row>
    <row r="14" spans="1:3" ht="18.75">
      <c r="A14" s="91">
        <v>11</v>
      </c>
      <c r="B14" s="92" t="s">
        <v>136</v>
      </c>
      <c r="C14" s="93" t="s">
        <v>137</v>
      </c>
    </row>
    <row r="15" spans="1:3" ht="18.75">
      <c r="A15" s="91">
        <v>12</v>
      </c>
      <c r="B15" s="92" t="s">
        <v>1491</v>
      </c>
      <c r="C15" s="93" t="s">
        <v>1466</v>
      </c>
    </row>
    <row r="16" spans="1:3" ht="18.75">
      <c r="A16" s="91">
        <v>13</v>
      </c>
      <c r="B16" s="92" t="s">
        <v>1492</v>
      </c>
      <c r="C16" s="93" t="s">
        <v>1467</v>
      </c>
    </row>
    <row r="17" spans="1:3" ht="18.75">
      <c r="A17" s="91">
        <v>14</v>
      </c>
      <c r="B17" s="92" t="s">
        <v>2710</v>
      </c>
      <c r="C17" s="93" t="s">
        <v>2711</v>
      </c>
    </row>
    <row r="18" spans="1:3" ht="18.75">
      <c r="A18" s="91"/>
      <c r="B18" s="124" t="s">
        <v>1494</v>
      </c>
      <c r="C18" s="93"/>
    </row>
    <row r="19" spans="1:3" ht="18.75">
      <c r="A19" s="91">
        <v>15</v>
      </c>
      <c r="B19" s="92" t="s">
        <v>1476</v>
      </c>
      <c r="C19" s="93" t="s">
        <v>1448</v>
      </c>
    </row>
    <row r="20" spans="1:3" ht="18.75">
      <c r="A20" s="91">
        <v>16</v>
      </c>
      <c r="B20" s="92" t="s">
        <v>1477</v>
      </c>
      <c r="C20" s="93" t="s">
        <v>1449</v>
      </c>
    </row>
    <row r="21" spans="1:3" ht="18.75">
      <c r="A21" s="91">
        <v>17</v>
      </c>
      <c r="B21" s="92" t="s">
        <v>1478</v>
      </c>
      <c r="C21" s="93" t="s">
        <v>1450</v>
      </c>
    </row>
    <row r="22" spans="1:3" ht="18.75">
      <c r="A22" s="91">
        <v>18</v>
      </c>
      <c r="B22" s="92" t="s">
        <v>1479</v>
      </c>
      <c r="C22" s="93" t="s">
        <v>1451</v>
      </c>
    </row>
    <row r="23" spans="1:3" ht="18.75">
      <c r="A23" s="91">
        <v>19</v>
      </c>
      <c r="B23" s="92" t="s">
        <v>1480</v>
      </c>
      <c r="C23" s="93" t="s">
        <v>1452</v>
      </c>
    </row>
    <row r="24" spans="1:3" ht="18.75">
      <c r="A24" s="91">
        <v>20</v>
      </c>
      <c r="B24" s="92" t="s">
        <v>1481</v>
      </c>
      <c r="C24" s="93" t="s">
        <v>1453</v>
      </c>
    </row>
    <row r="25" spans="1:3" ht="18.75">
      <c r="A25" s="91">
        <v>21</v>
      </c>
      <c r="B25" s="92" t="s">
        <v>1482</v>
      </c>
      <c r="C25" s="93" t="s">
        <v>1454</v>
      </c>
    </row>
    <row r="26" spans="1:3" ht="18.75">
      <c r="A26" s="91">
        <v>22</v>
      </c>
      <c r="B26" s="92" t="s">
        <v>1483</v>
      </c>
      <c r="C26" s="93" t="s">
        <v>1455</v>
      </c>
    </row>
    <row r="27" spans="1:3" ht="18.75">
      <c r="A27" s="91"/>
      <c r="B27" s="124" t="s">
        <v>1495</v>
      </c>
      <c r="C27" s="93"/>
    </row>
    <row r="28" spans="1:3" ht="18.75">
      <c r="A28" s="91">
        <v>23</v>
      </c>
      <c r="B28" s="92" t="s">
        <v>1484</v>
      </c>
      <c r="C28" s="93" t="s">
        <v>1456</v>
      </c>
    </row>
    <row r="29" spans="1:3" ht="18.75">
      <c r="A29" s="91">
        <v>24</v>
      </c>
      <c r="B29" s="92" t="s">
        <v>1485</v>
      </c>
      <c r="C29" s="93" t="s">
        <v>1458</v>
      </c>
    </row>
    <row r="30" spans="1:3" ht="18.75">
      <c r="A30" s="91">
        <v>25</v>
      </c>
      <c r="B30" s="92" t="s">
        <v>1486</v>
      </c>
      <c r="C30" s="93" t="s">
        <v>1459</v>
      </c>
    </row>
    <row r="31" spans="1:3" ht="18.75">
      <c r="A31" s="91">
        <v>26</v>
      </c>
      <c r="B31" s="92" t="s">
        <v>1487</v>
      </c>
      <c r="C31" s="93" t="s">
        <v>1460</v>
      </c>
    </row>
    <row r="32" spans="1:3" ht="18.75">
      <c r="A32" s="91">
        <v>27</v>
      </c>
      <c r="B32" s="92" t="s">
        <v>1488</v>
      </c>
      <c r="C32" s="93" t="s">
        <v>1461</v>
      </c>
    </row>
    <row r="33" spans="1:3" ht="18.75">
      <c r="A33" s="91">
        <v>28</v>
      </c>
      <c r="B33" s="92" t="s">
        <v>1489</v>
      </c>
      <c r="C33" s="93" t="s">
        <v>1462</v>
      </c>
    </row>
    <row r="34" spans="1:3" ht="18.75">
      <c r="A34" s="91">
        <v>29</v>
      </c>
      <c r="B34" s="92" t="s">
        <v>1490</v>
      </c>
      <c r="C34" s="93" t="s">
        <v>1463</v>
      </c>
    </row>
    <row r="35" spans="1:3" ht="18.75">
      <c r="A35" s="91">
        <v>30</v>
      </c>
      <c r="B35" s="92" t="s">
        <v>1482</v>
      </c>
      <c r="C35" s="93" t="s">
        <v>1464</v>
      </c>
    </row>
    <row r="36" spans="1:3" ht="18.75">
      <c r="A36" s="91">
        <v>31</v>
      </c>
      <c r="B36" s="92" t="s">
        <v>1483</v>
      </c>
      <c r="C36" s="93" t="s">
        <v>1465</v>
      </c>
    </row>
    <row r="37" spans="1:3" ht="18.75">
      <c r="A37" s="94"/>
      <c r="B37" s="94"/>
      <c r="C37" s="94"/>
    </row>
  </sheetData>
  <sheetProtection/>
  <hyperlinks>
    <hyperlink ref="B4" location="Ts!A1" display="Bảng các thông số ban đầu của dự án"/>
    <hyperlink ref="B5" location="Bia1!Print_Area" display="Bìa 1 (bìa ngoài)"/>
    <hyperlink ref="B6" location="Bia2!Print_Area" display="Bìa 2 (bìa lót)"/>
    <hyperlink ref="B7" location="TM!A1" display="Thuyết minh lập dự toán"/>
    <hyperlink ref="B8" location="THKP!A1" display="Bảng tổng hợp dự toán công trình"/>
    <hyperlink ref="B9" location="THKP!A1" display="Bảng tổng hợp chi phí tư vấn"/>
    <hyperlink ref="B10" location="THKP!A1" display="Bảng tổng hợp chi phí khác"/>
    <hyperlink ref="B12" location="QD957!A1" display="Bảng tính nội suy các định mức tỷ lệ"/>
    <hyperlink ref="B19" location="Gxd!A1" display="Bảng tổng hợp dự toán chi phí xây dựng"/>
    <hyperlink ref="B20" location="'Dutoan XD'!A1" display="Bảng dự toán chi phí xây dựng"/>
    <hyperlink ref="B21" location="'PTVT XD'!A1" display="Bảng phân tích hao phí theo định mức"/>
    <hyperlink ref="B22" location="'TH&amp;CLVT XD'!A1" display="Bảng tổng hợp và tính chênh lệch vật tư"/>
    <hyperlink ref="B23" location="'DGCT XD'!A1" display="Bảng phân tích đơn giá chi tiết"/>
    <hyperlink ref="B24" location="VCLC!A1" display="Bảng tổng hợp vật tư vận chuyển lên cao"/>
    <hyperlink ref="B25" location="'GVT XD'!A1" display="Bảng giá trị vật liệu, nhân công, máy thi công"/>
    <hyperlink ref="B26" location="DTDT!A1" display="Bảng dự toán dự thầu"/>
    <hyperlink ref="B28" location="Gtb!A1" display="Bảng tổng hợp dự toán chi phí thiết bị"/>
    <hyperlink ref="B29" location="Gdtcg!A1" display="Bảng tổng hợp chi phí đào tạo chuyển giao công nghệ"/>
    <hyperlink ref="B30" location="Gld!A1" display="Bảng tổng hợp dự toán chi phí lắp đặt thiết bị"/>
    <hyperlink ref="B31" location="'Dutoan TB'!A1" display="Bảng dự toán chi phí thiết bị"/>
    <hyperlink ref="B32" location="'PTVT TB'!A1" display="Bảng phân tích hao phí theo định mức (thiết bị)"/>
    <hyperlink ref="B33" location="'TH&amp;CLVT TB'!A1" display="Bảng tổng hợp và tính chênh lệch vật tư (thiết bị)"/>
    <hyperlink ref="B34" location="'DGCT TB'!A1" display="Bảng phân tích đơn giá chi tiết (thiết bị)"/>
    <hyperlink ref="B35" location="'GVT TB'!A1" display="Bảng giá trị vật liệu, nhân công, máy thi công"/>
    <hyperlink ref="B36" location="'DTDT TB'!A1" display="Bảng dự toán dự thầu"/>
    <hyperlink ref="B13" location="'Gia VLHT'!A1" display="Bảng tính giá vật liệu đến hiện trường"/>
    <hyperlink ref="B15" location="'Nhan cong'!A1" display="Bảng lương nhân công"/>
    <hyperlink ref="B16" location="'May thi cong'!A1" display="Bảng giá ca máy"/>
    <hyperlink ref="B14" location="PLV!A1" display="Bảng phụ lục vữa"/>
    <hyperlink ref="B11" location="Gdp!A1" display="Bảng tính dự phòng phí"/>
    <hyperlink ref="B17" location="'Bu GCM'!A1" display="Bảng tính bù giá ca máy"/>
    <hyperlink ref="F4" r:id="rId1" display="http://giaxaydung.vn/diendan/forums/467-cong-dong-su-dung-va-phat-trien-phan-mem-du-toan-gxd.gxd"/>
    <hyperlink ref="F5" r:id="rId2" display="http://giaxaydung.vn/diendan/forums/464-bo-cai-du-lieu-dinh-muc-don-gia.gxd"/>
    <hyperlink ref="F6" r:id="rId3" display="http://giaxaydung.vn/diendan/forums/459-giao-dien-do-nguoi-dung-thiet-ke.gxd"/>
    <hyperlink ref="F7" r:id="rId4" display="http://giaxaydung.vn/diendan/forums/462-cong-cu-nguoi-su-dung-tao-them.gxd"/>
    <hyperlink ref="F8" r:id="rId5" display="http://giaxaydung.vn/diendan/forums/418-lap-trinh-vba-macro4-trong-excel.gxd"/>
    <hyperlink ref="F3" r:id="rId6" display="http://giaxaydung.vn/diendan/forums/465-huong-dan-chia-se-kinh-nghiem-su-dung-du-toan-gxd.gxd"/>
    <hyperlink ref="F9" r:id="rId7" display="http://giaxaydung.vn/diendan/forums/192-cong-bo-gia-vat-lieu-dia-phuong.gxd"/>
    <hyperlink ref="F10" r:id="rId8" display="http://giaxaydung.vn/diendan/forums/369-du-lieu-gia-va-chi-phi-xay-dung-cong-trinh.gxd"/>
    <hyperlink ref="F11" r:id="rId9" display="http://giaxaydung.vn/diendan/forums/15-quan-ly-chi-phi-dau-tu-xay-dung.gxd"/>
    <hyperlink ref="F12" r:id="rId10" display="http://giaxaydung.vn/diendan/forums/162-quang-cao-tiep-thi-bao-gia-vat-lieu-xay-dung.gxd"/>
  </hyperlinks>
  <printOptions horizontalCentered="1"/>
  <pageMargins left="0.7480314960629921" right="0.2362204724409449" top="0.5118110236220472" bottom="0.5118110236220472" header="0.2362204724409449" footer="0.2362204724409449"/>
  <pageSetup horizontalDpi="600" verticalDpi="600" orientation="portrait" paperSize="9" r:id="rId11"/>
  <headerFooter alignWithMargins="0">
    <oddHeader>&amp;L&amp;"Times New Roman,nghiêng"&amp;9Dự toán GXD - www.giaxaydung.vn</oddHeader>
    <oddFooter>&amp;C&amp;P</oddFooter>
  </headerFooter>
</worksheet>
</file>

<file path=xl/worksheets/sheet2.xml><?xml version="1.0" encoding="utf-8"?>
<worksheet xmlns="http://schemas.openxmlformats.org/spreadsheetml/2006/main" xmlns:r="http://schemas.openxmlformats.org/officeDocument/2006/relationships">
  <sheetPr codeName="Sheet13">
    <tabColor indexed="53"/>
  </sheetPr>
  <dimension ref="A1:AJ106"/>
  <sheetViews>
    <sheetView tabSelected="1" view="pageBreakPreview" zoomScaleSheetLayoutView="100" zoomScalePageLayoutView="0" workbookViewId="0" topLeftCell="A1">
      <selection activeCell="A20" sqref="A20:IV20"/>
    </sheetView>
  </sheetViews>
  <sheetFormatPr defaultColWidth="10.28125" defaultRowHeight="15"/>
  <cols>
    <col min="1" max="1" width="6.421875" style="1" customWidth="1"/>
    <col min="2" max="2" width="61.00390625" style="6" customWidth="1"/>
    <col min="3" max="3" width="24.28125" style="6" customWidth="1"/>
    <col min="4" max="4" width="3.8515625" style="10" customWidth="1"/>
    <col min="5" max="5" width="5.421875" style="12" customWidth="1"/>
    <col min="6" max="6" width="46.57421875" style="12" customWidth="1"/>
    <col min="7" max="7" width="12.8515625" style="12" customWidth="1"/>
    <col min="8" max="8" width="12.8515625" style="6" customWidth="1"/>
    <col min="9" max="9" width="10.57421875" style="6" customWidth="1"/>
    <col min="10" max="10" width="16.28125" style="6" customWidth="1"/>
    <col min="11" max="11" width="46.421875" style="6" customWidth="1"/>
    <col min="12" max="12" width="11.7109375" style="6" customWidth="1"/>
    <col min="13" max="18" width="10.28125" style="6" customWidth="1"/>
    <col min="19" max="34" width="10.28125" style="1" customWidth="1"/>
    <col min="35" max="35" width="74.8515625" style="1" customWidth="1"/>
    <col min="36" max="36" width="2.8515625" style="1" customWidth="1"/>
    <col min="37" max="37" width="8.8515625" style="1" customWidth="1"/>
    <col min="38" max="38" width="7.00390625" style="1" customWidth="1"/>
    <col min="39" max="16384" width="10.28125" style="1" customWidth="1"/>
  </cols>
  <sheetData>
    <row r="1" spans="1:20" ht="27" customHeight="1">
      <c r="A1" s="29" t="s">
        <v>134</v>
      </c>
      <c r="B1" s="29"/>
      <c r="C1" s="29"/>
      <c r="D1" s="30" t="s">
        <v>3056</v>
      </c>
      <c r="E1" s="3" t="s">
        <v>3066</v>
      </c>
      <c r="F1" s="2"/>
      <c r="G1" s="2"/>
      <c r="H1" s="2"/>
      <c r="I1" s="2"/>
      <c r="J1" s="61"/>
      <c r="K1" s="62" t="s">
        <v>1386</v>
      </c>
      <c r="L1" s="62">
        <v>5</v>
      </c>
      <c r="M1" s="63"/>
      <c r="N1" s="63"/>
      <c r="O1" s="63"/>
      <c r="R1" s="34" t="s">
        <v>2873</v>
      </c>
      <c r="S1" s="34" t="s">
        <v>2874</v>
      </c>
      <c r="T1" s="34" t="s">
        <v>2875</v>
      </c>
    </row>
    <row r="2" spans="1:20" ht="18" customHeight="1">
      <c r="A2" s="23" t="s">
        <v>3043</v>
      </c>
      <c r="B2" s="24"/>
      <c r="C2" s="25"/>
      <c r="E2" s="44" t="s">
        <v>3058</v>
      </c>
      <c r="F2" s="41"/>
      <c r="G2" s="41"/>
      <c r="J2" s="63"/>
      <c r="K2" s="6" t="s">
        <v>172</v>
      </c>
      <c r="L2" s="6">
        <v>0</v>
      </c>
      <c r="M2" s="6">
        <v>1624</v>
      </c>
      <c r="N2" s="6">
        <v>2</v>
      </c>
      <c r="O2" s="6" t="s">
        <v>173</v>
      </c>
      <c r="R2" s="57">
        <v>1</v>
      </c>
      <c r="S2" s="58">
        <v>1</v>
      </c>
      <c r="T2" s="59">
        <v>1.05</v>
      </c>
    </row>
    <row r="3" spans="1:20" ht="18" customHeight="1">
      <c r="A3" s="26">
        <v>1</v>
      </c>
      <c r="B3" s="27" t="s">
        <v>3067</v>
      </c>
      <c r="C3" s="28"/>
      <c r="E3" s="37" t="s">
        <v>1268</v>
      </c>
      <c r="F3" s="37" t="s">
        <v>3057</v>
      </c>
      <c r="G3" s="37" t="s">
        <v>1273</v>
      </c>
      <c r="H3" s="12"/>
      <c r="J3" s="64"/>
      <c r="K3" s="6" t="s">
        <v>174</v>
      </c>
      <c r="L3" s="6">
        <v>1</v>
      </c>
      <c r="M3" s="6">
        <v>1716</v>
      </c>
      <c r="N3" s="6">
        <v>2</v>
      </c>
      <c r="O3" s="6" t="s">
        <v>173</v>
      </c>
      <c r="R3" s="57">
        <v>2</v>
      </c>
      <c r="S3" s="58">
        <v>1.1</v>
      </c>
      <c r="T3" s="60"/>
    </row>
    <row r="4" spans="1:20" ht="18" customHeight="1">
      <c r="A4" s="16"/>
      <c r="B4" s="15"/>
      <c r="C4" s="43"/>
      <c r="E4" s="96">
        <v>1</v>
      </c>
      <c r="F4" s="97" t="s">
        <v>2880</v>
      </c>
      <c r="G4" s="98"/>
      <c r="H4" s="35"/>
      <c r="J4" s="64"/>
      <c r="K4" s="6" t="s">
        <v>175</v>
      </c>
      <c r="L4" s="6">
        <v>2</v>
      </c>
      <c r="M4" s="6">
        <v>1640</v>
      </c>
      <c r="N4" s="6">
        <v>2</v>
      </c>
      <c r="O4" s="6" t="s">
        <v>173</v>
      </c>
      <c r="R4" s="57">
        <v>3</v>
      </c>
      <c r="S4" s="58">
        <v>1.3</v>
      </c>
      <c r="T4" s="60"/>
    </row>
    <row r="5" spans="1:20" ht="18" customHeight="1">
      <c r="A5" s="16">
        <v>2</v>
      </c>
      <c r="B5" s="17" t="s">
        <v>3044</v>
      </c>
      <c r="C5" s="43"/>
      <c r="E5" s="99"/>
      <c r="F5" s="100" t="s">
        <v>1497</v>
      </c>
      <c r="G5" s="101">
        <v>0.025</v>
      </c>
      <c r="H5" s="35"/>
      <c r="J5" s="64"/>
      <c r="K5" s="6" t="s">
        <v>176</v>
      </c>
      <c r="L5" s="6">
        <v>3</v>
      </c>
      <c r="M5" s="6">
        <v>1724</v>
      </c>
      <c r="N5" s="6">
        <v>2</v>
      </c>
      <c r="O5" s="6" t="s">
        <v>173</v>
      </c>
      <c r="R5" s="57">
        <v>4</v>
      </c>
      <c r="S5" s="58">
        <v>1.4</v>
      </c>
      <c r="T5" s="60"/>
    </row>
    <row r="6" spans="1:20" ht="18" customHeight="1">
      <c r="A6" s="16"/>
      <c r="B6" s="15"/>
      <c r="C6" s="43"/>
      <c r="E6" s="113"/>
      <c r="F6" s="114" t="s">
        <v>1498</v>
      </c>
      <c r="G6" s="115">
        <v>0.02</v>
      </c>
      <c r="H6" s="35"/>
      <c r="J6" s="64"/>
      <c r="K6" s="6" t="s">
        <v>177</v>
      </c>
      <c r="L6" s="6">
        <v>4</v>
      </c>
      <c r="M6" s="6">
        <v>1732</v>
      </c>
      <c r="N6" s="6">
        <v>2</v>
      </c>
      <c r="O6" s="6" t="s">
        <v>173</v>
      </c>
      <c r="R6" s="57">
        <v>5</v>
      </c>
      <c r="S6" s="58"/>
      <c r="T6" s="60"/>
    </row>
    <row r="7" spans="1:10" ht="18" customHeight="1">
      <c r="A7" s="16">
        <v>3</v>
      </c>
      <c r="B7" s="17" t="s">
        <v>3045</v>
      </c>
      <c r="C7" s="43"/>
      <c r="E7" s="96">
        <v>2</v>
      </c>
      <c r="F7" s="97" t="s">
        <v>2881</v>
      </c>
      <c r="G7" s="119">
        <v>0.02</v>
      </c>
      <c r="H7" s="35"/>
      <c r="J7" s="65"/>
    </row>
    <row r="8" spans="1:10" ht="18" customHeight="1">
      <c r="A8" s="16"/>
      <c r="B8" s="15"/>
      <c r="C8" s="43"/>
      <c r="E8" s="103"/>
      <c r="F8" s="104" t="s">
        <v>3072</v>
      </c>
      <c r="G8" s="105">
        <v>0.065</v>
      </c>
      <c r="H8" s="36"/>
      <c r="J8" s="66"/>
    </row>
    <row r="9" spans="1:10" ht="18" customHeight="1">
      <c r="A9" s="16">
        <v>4</v>
      </c>
      <c r="B9" s="17" t="s">
        <v>3068</v>
      </c>
      <c r="C9" s="43"/>
      <c r="E9" s="96">
        <v>3</v>
      </c>
      <c r="F9" s="97" t="s">
        <v>2882</v>
      </c>
      <c r="G9" s="119">
        <v>0.02</v>
      </c>
      <c r="H9" s="36"/>
      <c r="J9" s="63"/>
    </row>
    <row r="10" spans="1:10" ht="18" customHeight="1">
      <c r="A10" s="16"/>
      <c r="B10" s="15"/>
      <c r="C10" s="43"/>
      <c r="E10" s="103"/>
      <c r="F10" s="104" t="s">
        <v>3073</v>
      </c>
      <c r="G10" s="105">
        <v>0.065</v>
      </c>
      <c r="H10" s="36"/>
      <c r="J10" s="67"/>
    </row>
    <row r="11" spans="1:10" ht="18" customHeight="1">
      <c r="A11" s="23" t="s">
        <v>3065</v>
      </c>
      <c r="B11" s="24"/>
      <c r="C11" s="25"/>
      <c r="E11" s="37">
        <v>4</v>
      </c>
      <c r="F11" s="38" t="s">
        <v>2884</v>
      </c>
      <c r="G11" s="45">
        <v>0.02</v>
      </c>
      <c r="H11" s="36"/>
      <c r="J11" s="64"/>
    </row>
    <row r="12" spans="1:10" ht="18" customHeight="1">
      <c r="A12" s="26">
        <v>1</v>
      </c>
      <c r="B12" s="49" t="s">
        <v>3047</v>
      </c>
      <c r="C12" s="50">
        <v>1</v>
      </c>
      <c r="E12" s="116">
        <v>5</v>
      </c>
      <c r="F12" s="117" t="s">
        <v>2883</v>
      </c>
      <c r="G12" s="118"/>
      <c r="H12" s="36"/>
      <c r="J12" s="64"/>
    </row>
    <row r="13" spans="1:8" ht="18" customHeight="1">
      <c r="A13" s="16">
        <v>2</v>
      </c>
      <c r="B13" s="51" t="s">
        <v>3048</v>
      </c>
      <c r="C13" s="52">
        <v>1</v>
      </c>
      <c r="E13" s="99"/>
      <c r="F13" s="100" t="s">
        <v>1497</v>
      </c>
      <c r="G13" s="102">
        <v>0.02</v>
      </c>
      <c r="H13" s="36"/>
    </row>
    <row r="14" spans="1:7" ht="18" customHeight="1">
      <c r="A14" s="16">
        <v>3</v>
      </c>
      <c r="B14" s="51" t="s">
        <v>3049</v>
      </c>
      <c r="C14" s="52">
        <v>1</v>
      </c>
      <c r="E14" s="103"/>
      <c r="F14" s="104" t="s">
        <v>1498</v>
      </c>
      <c r="G14" s="105">
        <v>0.015</v>
      </c>
    </row>
    <row r="15" spans="1:9" ht="18" customHeight="1">
      <c r="A15" s="16">
        <v>4</v>
      </c>
      <c r="B15" s="51" t="s">
        <v>3063</v>
      </c>
      <c r="C15" s="56">
        <v>2.5</v>
      </c>
      <c r="E15" s="44" t="s">
        <v>3059</v>
      </c>
      <c r="F15" s="41"/>
      <c r="G15" s="41"/>
      <c r="H15" s="41"/>
      <c r="I15" s="41"/>
    </row>
    <row r="16" spans="1:34" ht="18" customHeight="1">
      <c r="A16" s="16">
        <v>5</v>
      </c>
      <c r="B16" s="51" t="s">
        <v>3070</v>
      </c>
      <c r="C16" s="56">
        <v>6.5</v>
      </c>
      <c r="D16" s="6"/>
      <c r="E16" s="370" t="s">
        <v>1268</v>
      </c>
      <c r="F16" s="370" t="s">
        <v>3057</v>
      </c>
      <c r="G16" s="39" t="s">
        <v>1269</v>
      </c>
      <c r="H16" s="40"/>
      <c r="I16" s="370" t="s">
        <v>1270</v>
      </c>
      <c r="S16" s="6"/>
      <c r="AH16" s="7"/>
    </row>
    <row r="17" spans="1:34" ht="18" customHeight="1">
      <c r="A17" s="16">
        <v>6</v>
      </c>
      <c r="B17" s="51" t="s">
        <v>3071</v>
      </c>
      <c r="C17" s="56">
        <v>5.5</v>
      </c>
      <c r="D17" s="6"/>
      <c r="E17" s="371"/>
      <c r="F17" s="371"/>
      <c r="G17" s="4" t="s">
        <v>3060</v>
      </c>
      <c r="H17" s="4" t="s">
        <v>1271</v>
      </c>
      <c r="I17" s="371"/>
      <c r="AH17" s="7"/>
    </row>
    <row r="18" spans="1:34" ht="18" customHeight="1">
      <c r="A18" s="16">
        <v>7</v>
      </c>
      <c r="B18" s="51" t="s">
        <v>3062</v>
      </c>
      <c r="C18" s="56">
        <v>10</v>
      </c>
      <c r="D18" s="6"/>
      <c r="E18" s="364">
        <v>1</v>
      </c>
      <c r="F18" s="106" t="s">
        <v>2880</v>
      </c>
      <c r="G18" s="107">
        <v>0.065</v>
      </c>
      <c r="H18" s="107"/>
      <c r="I18" s="366">
        <v>0.055</v>
      </c>
      <c r="J18" s="1"/>
      <c r="AH18" s="7"/>
    </row>
    <row r="19" spans="1:34" ht="18" customHeight="1">
      <c r="A19" s="16">
        <v>8</v>
      </c>
      <c r="B19" s="53" t="s">
        <v>3064</v>
      </c>
      <c r="C19" s="56">
        <v>1</v>
      </c>
      <c r="D19" s="6"/>
      <c r="E19" s="365"/>
      <c r="F19" s="120" t="s">
        <v>3074</v>
      </c>
      <c r="G19" s="112">
        <v>0.1</v>
      </c>
      <c r="H19" s="121"/>
      <c r="I19" s="367"/>
      <c r="J19" s="1"/>
      <c r="AH19" s="7"/>
    </row>
    <row r="20" spans="1:34" ht="18" customHeight="1">
      <c r="A20" s="22">
        <v>9</v>
      </c>
      <c r="B20" s="54" t="s">
        <v>3050</v>
      </c>
      <c r="C20" s="56">
        <v>5</v>
      </c>
      <c r="D20" s="6"/>
      <c r="E20" s="364">
        <v>2</v>
      </c>
      <c r="F20" s="106" t="s">
        <v>2881</v>
      </c>
      <c r="G20" s="107">
        <v>0.055</v>
      </c>
      <c r="H20" s="107"/>
      <c r="I20" s="368">
        <v>0.06</v>
      </c>
      <c r="J20" s="1"/>
      <c r="AH20" s="7"/>
    </row>
    <row r="21" spans="1:36" ht="18" customHeight="1">
      <c r="A21" s="23" t="s">
        <v>3046</v>
      </c>
      <c r="B21" s="24"/>
      <c r="C21" s="25"/>
      <c r="D21" s="6"/>
      <c r="E21" s="365"/>
      <c r="F21" s="104" t="s">
        <v>3072</v>
      </c>
      <c r="G21" s="112">
        <v>0.07</v>
      </c>
      <c r="H21" s="121"/>
      <c r="I21" s="369"/>
      <c r="S21" s="239"/>
      <c r="AH21" s="7"/>
      <c r="AJ21" s="6"/>
    </row>
    <row r="22" spans="1:36" ht="18" customHeight="1">
      <c r="A22" s="31">
        <v>1</v>
      </c>
      <c r="B22" s="49" t="s">
        <v>128</v>
      </c>
      <c r="C22" s="68">
        <v>1050000</v>
      </c>
      <c r="D22" s="6"/>
      <c r="E22" s="358">
        <v>3</v>
      </c>
      <c r="F22" s="106" t="s">
        <v>2882</v>
      </c>
      <c r="G22" s="107">
        <v>0.055</v>
      </c>
      <c r="H22" s="107"/>
      <c r="I22" s="361">
        <v>0.06</v>
      </c>
      <c r="AH22" s="7"/>
      <c r="AJ22" s="6"/>
    </row>
    <row r="23" spans="1:34" ht="18" customHeight="1">
      <c r="A23" s="32">
        <v>2</v>
      </c>
      <c r="B23" s="133" t="s">
        <v>129</v>
      </c>
      <c r="C23" s="134">
        <f>C22</f>
        <v>1050000</v>
      </c>
      <c r="D23" s="6"/>
      <c r="E23" s="359"/>
      <c r="F23" s="109" t="s">
        <v>3075</v>
      </c>
      <c r="G23" s="110" t="s">
        <v>1267</v>
      </c>
      <c r="H23" s="108">
        <v>0.66</v>
      </c>
      <c r="I23" s="362"/>
      <c r="AH23" s="7"/>
    </row>
    <row r="24" spans="1:34" ht="18" customHeight="1">
      <c r="A24" s="32">
        <v>3</v>
      </c>
      <c r="B24" s="51" t="str">
        <f>"Phụ cấp lưu động ("&amp;C24*100&amp;"%LTTC)"</f>
        <v>Phụ cấp lưu động (20%LTTC)</v>
      </c>
      <c r="C24" s="55">
        <v>0.2</v>
      </c>
      <c r="D24" s="6"/>
      <c r="E24" s="360"/>
      <c r="F24" s="111" t="s">
        <v>3076</v>
      </c>
      <c r="G24" s="112">
        <v>0.07</v>
      </c>
      <c r="H24" s="121"/>
      <c r="I24" s="363"/>
      <c r="AH24" s="7"/>
    </row>
    <row r="25" spans="1:36" ht="18" customHeight="1">
      <c r="A25" s="32">
        <v>4</v>
      </c>
      <c r="B25" s="51" t="str">
        <f>"Lương phụ ("&amp;C25*100&amp;"%LCB)"</f>
        <v>Lương phụ (12%LCB)</v>
      </c>
      <c r="C25" s="55">
        <v>0.12</v>
      </c>
      <c r="E25" s="364">
        <v>4</v>
      </c>
      <c r="F25" s="106" t="s">
        <v>2884</v>
      </c>
      <c r="G25" s="107">
        <v>0.055</v>
      </c>
      <c r="H25" s="107"/>
      <c r="I25" s="366">
        <v>0.055</v>
      </c>
      <c r="AH25" s="7"/>
      <c r="AJ25" s="6"/>
    </row>
    <row r="26" spans="1:36" ht="18" customHeight="1">
      <c r="A26" s="32">
        <v>5</v>
      </c>
      <c r="B26" s="51" t="str">
        <f>"Chi phí khoán trực tiếp ("&amp;C26*100&amp;"%LCB)"</f>
        <v>Chi phí khoán trực tiếp (4%LCB)</v>
      </c>
      <c r="C26" s="55">
        <v>0.04</v>
      </c>
      <c r="D26" s="21" t="s">
        <v>3051</v>
      </c>
      <c r="E26" s="365"/>
      <c r="F26" s="111" t="s">
        <v>3077</v>
      </c>
      <c r="G26" s="121"/>
      <c r="H26" s="112">
        <v>0.51</v>
      </c>
      <c r="I26" s="367"/>
      <c r="J26" s="19"/>
      <c r="AH26" s="7"/>
      <c r="AJ26" s="6"/>
    </row>
    <row r="27" spans="1:9" s="19" customFormat="1" ht="18" customHeight="1">
      <c r="A27" s="32">
        <v>6</v>
      </c>
      <c r="B27" s="51" t="str">
        <f>"Phụ cấp không ổn định sản xuất ("&amp;C27*100&amp;"%LCB)"</f>
        <v>Phụ cấp không ổn định sản xuất (10%LCB)</v>
      </c>
      <c r="C27" s="55">
        <v>0.1</v>
      </c>
      <c r="E27" s="5">
        <v>5</v>
      </c>
      <c r="F27" s="42" t="s">
        <v>2883</v>
      </c>
      <c r="G27" s="47">
        <v>0.05</v>
      </c>
      <c r="H27" s="46"/>
      <c r="I27" s="46">
        <v>0.055</v>
      </c>
    </row>
    <row r="28" spans="1:9" s="19" customFormat="1" ht="18" customHeight="1">
      <c r="A28" s="32">
        <v>7</v>
      </c>
      <c r="B28" s="51" t="str">
        <f>"Phụ cấp khu vực ("&amp;C28*100&amp;"%LTTC)"</f>
        <v>Phụ cấp khu vực (0%LTTC)</v>
      </c>
      <c r="C28" s="55"/>
      <c r="E28" s="88">
        <v>6</v>
      </c>
      <c r="F28" s="122" t="s">
        <v>3061</v>
      </c>
      <c r="G28" s="123" t="s">
        <v>1267</v>
      </c>
      <c r="H28" s="87">
        <v>0.65</v>
      </c>
      <c r="I28" s="87">
        <v>0.06</v>
      </c>
    </row>
    <row r="29" spans="1:5" s="19" customFormat="1" ht="18" customHeight="1">
      <c r="A29" s="32">
        <v>8</v>
      </c>
      <c r="B29" s="51" t="str">
        <f>"Phụ cấp thu hút ("&amp;C29*100&amp;"%LCB)"</f>
        <v>Phụ cấp thu hút (0%LCB)</v>
      </c>
      <c r="C29" s="55"/>
      <c r="E29" s="48" t="s">
        <v>120</v>
      </c>
    </row>
    <row r="30" spans="1:3" s="19" customFormat="1" ht="18" customHeight="1">
      <c r="A30" s="32">
        <v>9</v>
      </c>
      <c r="B30" s="51" t="str">
        <f>"Phục cấp độc hại ("&amp;C30*100&amp;"%LTTC)"</f>
        <v>Phục cấp độc hại (0%LTTC)</v>
      </c>
      <c r="C30" s="55"/>
    </row>
    <row r="31" spans="1:5" s="19" customFormat="1" ht="18" customHeight="1">
      <c r="A31" s="32">
        <v>10</v>
      </c>
      <c r="B31" s="51" t="str">
        <f>"Phụ cấp đặc biệt ("&amp;C31*100&amp;"%LCB)"</f>
        <v>Phụ cấp đặc biệt (0%LCB)</v>
      </c>
      <c r="C31" s="55"/>
      <c r="E31" s="9"/>
    </row>
    <row r="32" spans="1:7" s="19" customFormat="1" ht="18" customHeight="1">
      <c r="A32" s="32">
        <v>11</v>
      </c>
      <c r="B32" s="51" t="str">
        <f>"Phụ cấp làm ca đêm ("&amp;C32*100&amp;"%LCB)"</f>
        <v>Phụ cấp làm ca đêm (0%LCB)</v>
      </c>
      <c r="C32" s="55"/>
      <c r="E32" s="9"/>
      <c r="F32" s="33" t="s">
        <v>2876</v>
      </c>
      <c r="G32" s="33" t="b">
        <v>0</v>
      </c>
    </row>
    <row r="33" spans="1:7" s="19" customFormat="1" ht="18" customHeight="1">
      <c r="A33" s="23" t="s">
        <v>3055</v>
      </c>
      <c r="B33" s="24"/>
      <c r="C33" s="25"/>
      <c r="E33" s="8"/>
      <c r="F33" s="33" t="s">
        <v>2877</v>
      </c>
      <c r="G33" s="33" t="b">
        <v>1</v>
      </c>
    </row>
    <row r="34" spans="1:7" s="19" customFormat="1" ht="18" customHeight="1">
      <c r="A34" s="31">
        <v>1</v>
      </c>
      <c r="B34" s="49" t="s">
        <v>3052</v>
      </c>
      <c r="C34" s="229">
        <v>19363.64</v>
      </c>
      <c r="D34" s="20"/>
      <c r="E34" s="8"/>
      <c r="F34" s="33" t="s">
        <v>2878</v>
      </c>
      <c r="G34" s="33" t="b">
        <v>0</v>
      </c>
    </row>
    <row r="35" spans="1:7" s="19" customFormat="1" ht="18" customHeight="1">
      <c r="A35" s="32">
        <v>2</v>
      </c>
      <c r="B35" s="51" t="s">
        <v>3053</v>
      </c>
      <c r="C35" s="230">
        <v>19181.82</v>
      </c>
      <c r="E35" s="8"/>
      <c r="F35" s="33" t="s">
        <v>2879</v>
      </c>
      <c r="G35" s="33">
        <v>2</v>
      </c>
    </row>
    <row r="36" spans="1:9" s="19" customFormat="1" ht="18" customHeight="1">
      <c r="A36" s="32">
        <v>3</v>
      </c>
      <c r="B36" s="51" t="s">
        <v>3069</v>
      </c>
      <c r="C36" s="230">
        <v>10996.36</v>
      </c>
      <c r="E36" s="8"/>
      <c r="F36" s="9"/>
      <c r="G36" s="9"/>
      <c r="H36" s="6"/>
      <c r="I36" s="6"/>
    </row>
    <row r="37" spans="1:9" s="19" customFormat="1" ht="18" customHeight="1">
      <c r="A37" s="32">
        <v>4</v>
      </c>
      <c r="B37" s="51" t="s">
        <v>2418</v>
      </c>
      <c r="C37" s="230"/>
      <c r="E37" s="8"/>
      <c r="F37" s="9"/>
      <c r="G37" s="9"/>
      <c r="H37" s="6"/>
      <c r="I37" s="6"/>
    </row>
    <row r="38" spans="1:10" s="19" customFormat="1" ht="18" customHeight="1">
      <c r="A38" s="32">
        <v>5</v>
      </c>
      <c r="B38" s="51" t="s">
        <v>2419</v>
      </c>
      <c r="C38" s="230"/>
      <c r="E38" s="8"/>
      <c r="F38" s="9"/>
      <c r="G38" s="9"/>
      <c r="H38" s="6"/>
      <c r="I38" s="6"/>
      <c r="J38" s="6"/>
    </row>
    <row r="39" spans="1:36" ht="15.75">
      <c r="A39" s="32">
        <v>6</v>
      </c>
      <c r="B39" s="51" t="s">
        <v>3054</v>
      </c>
      <c r="C39" s="240">
        <v>1139</v>
      </c>
      <c r="E39" s="8"/>
      <c r="F39" s="9"/>
      <c r="G39" s="9"/>
      <c r="AH39" s="7"/>
      <c r="AJ39" s="6"/>
    </row>
    <row r="40" spans="1:36" ht="15.75">
      <c r="A40" s="18"/>
      <c r="B40" s="18"/>
      <c r="C40" s="22"/>
      <c r="E40" s="8"/>
      <c r="F40" s="9"/>
      <c r="G40" s="9"/>
      <c r="AH40" s="11"/>
      <c r="AJ40" s="6"/>
    </row>
    <row r="41" spans="1:7" ht="15.75">
      <c r="A41" s="19"/>
      <c r="B41" s="19"/>
      <c r="E41" s="8"/>
      <c r="F41" s="9"/>
      <c r="G41" s="9"/>
    </row>
    <row r="42" spans="1:7" ht="15.75">
      <c r="A42" s="1" t="s">
        <v>2420</v>
      </c>
      <c r="B42" s="69" t="s">
        <v>2421</v>
      </c>
      <c r="E42" s="8"/>
      <c r="F42" s="9"/>
      <c r="G42" s="9"/>
    </row>
    <row r="43" spans="5:7" ht="15.75">
      <c r="E43" s="8"/>
      <c r="F43" s="9"/>
      <c r="G43" s="9"/>
    </row>
    <row r="44" spans="5:7" ht="15.75">
      <c r="E44" s="8"/>
      <c r="F44" s="9"/>
      <c r="G44" s="9"/>
    </row>
    <row r="45" spans="5:7" ht="15.75">
      <c r="E45" s="8"/>
      <c r="F45" s="9"/>
      <c r="G45" s="9"/>
    </row>
    <row r="46" spans="5:7" ht="15.75">
      <c r="E46" s="8"/>
      <c r="F46" s="9"/>
      <c r="G46" s="9"/>
    </row>
    <row r="47" spans="5:7" ht="15.75">
      <c r="E47" s="8"/>
      <c r="F47" s="9"/>
      <c r="G47" s="9"/>
    </row>
    <row r="48" spans="5:7" ht="15.75">
      <c r="E48" s="8"/>
      <c r="F48" s="9"/>
      <c r="G48" s="9"/>
    </row>
    <row r="49" spans="5:7" ht="15.75">
      <c r="E49" s="8"/>
      <c r="F49" s="9"/>
      <c r="G49" s="9"/>
    </row>
    <row r="50" spans="5:7" ht="15.75">
      <c r="E50" s="8"/>
      <c r="F50" s="9"/>
      <c r="G50" s="9"/>
    </row>
    <row r="51" spans="5:7" ht="15.75">
      <c r="E51" s="8"/>
      <c r="F51" s="9"/>
      <c r="G51" s="9"/>
    </row>
    <row r="52" spans="5:7" ht="15.75">
      <c r="E52" s="8"/>
      <c r="F52" s="9"/>
      <c r="G52" s="9"/>
    </row>
    <row r="53" spans="5:7" ht="15.75">
      <c r="E53" s="8"/>
      <c r="F53" s="9"/>
      <c r="G53" s="9"/>
    </row>
    <row r="54" spans="5:7" ht="15.75">
      <c r="E54" s="8"/>
      <c r="F54" s="9"/>
      <c r="G54" s="9"/>
    </row>
    <row r="55" spans="5:7" ht="15.75">
      <c r="E55" s="8"/>
      <c r="F55" s="9"/>
      <c r="G55" s="9"/>
    </row>
    <row r="56" spans="5:7" ht="15.75">
      <c r="E56" s="8"/>
      <c r="F56" s="9"/>
      <c r="G56" s="9"/>
    </row>
    <row r="57" spans="5:7" ht="15.75">
      <c r="E57" s="8"/>
      <c r="F57" s="9"/>
      <c r="G57" s="9"/>
    </row>
    <row r="58" spans="5:7" ht="15.75">
      <c r="E58" s="8"/>
      <c r="F58" s="9"/>
      <c r="G58" s="9"/>
    </row>
    <row r="59" spans="5:7" ht="15.75">
      <c r="E59" s="8"/>
      <c r="F59" s="9"/>
      <c r="G59" s="9"/>
    </row>
    <row r="60" spans="5:7" ht="15.75">
      <c r="E60" s="8"/>
      <c r="F60" s="9"/>
      <c r="G60" s="9"/>
    </row>
    <row r="61" spans="5:7" ht="15.75">
      <c r="E61" s="8"/>
      <c r="F61" s="9"/>
      <c r="G61" s="9"/>
    </row>
    <row r="62" spans="5:7" ht="15.75">
      <c r="E62" s="8"/>
      <c r="F62" s="9"/>
      <c r="G62" s="9"/>
    </row>
    <row r="63" spans="5:7" ht="15.75">
      <c r="E63" s="8"/>
      <c r="F63" s="9"/>
      <c r="G63" s="9"/>
    </row>
    <row r="64" spans="5:7" ht="15.75">
      <c r="E64" s="8"/>
      <c r="F64" s="9"/>
      <c r="G64" s="9"/>
    </row>
    <row r="65" spans="5:7" ht="15.75">
      <c r="E65" s="8"/>
      <c r="F65" s="9"/>
      <c r="G65" s="9"/>
    </row>
    <row r="66" spans="5:7" ht="15.75">
      <c r="E66" s="8"/>
      <c r="F66" s="9"/>
      <c r="G66" s="9"/>
    </row>
    <row r="67" spans="5:7" ht="15.75">
      <c r="E67" s="8"/>
      <c r="F67" s="9"/>
      <c r="G67" s="9"/>
    </row>
    <row r="68" spans="5:7" ht="15.75">
      <c r="E68" s="8"/>
      <c r="F68" s="9"/>
      <c r="G68" s="9"/>
    </row>
    <row r="69" spans="5:7" ht="15.75">
      <c r="E69" s="8"/>
      <c r="F69" s="9"/>
      <c r="G69" s="9"/>
    </row>
    <row r="70" spans="5:7" ht="15.75">
      <c r="E70" s="8"/>
      <c r="F70" s="9"/>
      <c r="G70" s="9"/>
    </row>
    <row r="71" spans="5:7" ht="15.75">
      <c r="E71" s="8"/>
      <c r="F71" s="9"/>
      <c r="G71" s="9"/>
    </row>
    <row r="72" spans="5:7" ht="15.75">
      <c r="E72" s="8"/>
      <c r="F72" s="9"/>
      <c r="G72" s="9"/>
    </row>
    <row r="73" spans="5:7" ht="15.75">
      <c r="E73" s="8"/>
      <c r="F73" s="9"/>
      <c r="G73" s="9"/>
    </row>
    <row r="74" spans="5:7" ht="15.75">
      <c r="E74" s="8"/>
      <c r="F74" s="9"/>
      <c r="G74" s="9"/>
    </row>
    <row r="75" spans="5:7" ht="15.75">
      <c r="E75" s="8"/>
      <c r="F75" s="9"/>
      <c r="G75" s="9"/>
    </row>
    <row r="76" spans="5:7" ht="15.75">
      <c r="E76" s="8"/>
      <c r="F76" s="9"/>
      <c r="G76" s="9"/>
    </row>
    <row r="77" spans="5:7" ht="15.75">
      <c r="E77" s="8"/>
      <c r="F77" s="9"/>
      <c r="G77" s="9"/>
    </row>
    <row r="78" spans="5:7" ht="15.75">
      <c r="E78" s="8"/>
      <c r="F78" s="9"/>
      <c r="G78" s="9"/>
    </row>
    <row r="79" spans="5:7" ht="15.75">
      <c r="E79" s="8"/>
      <c r="F79" s="9"/>
      <c r="G79" s="9"/>
    </row>
    <row r="80" spans="5:7" ht="15.75">
      <c r="E80" s="8"/>
      <c r="F80" s="9"/>
      <c r="G80" s="9"/>
    </row>
    <row r="81" spans="5:7" ht="15.75">
      <c r="E81" s="8"/>
      <c r="F81" s="9"/>
      <c r="G81" s="9"/>
    </row>
    <row r="82" spans="5:7" ht="15.75">
      <c r="E82" s="8"/>
      <c r="F82" s="9"/>
      <c r="G82" s="9"/>
    </row>
    <row r="83" spans="5:7" ht="15.75">
      <c r="E83" s="8"/>
      <c r="F83" s="9"/>
      <c r="G83" s="9"/>
    </row>
    <row r="84" spans="5:7" ht="15.75">
      <c r="E84" s="8"/>
      <c r="F84" s="9"/>
      <c r="G84" s="9"/>
    </row>
    <row r="85" spans="5:7" ht="15.75">
      <c r="E85" s="8"/>
      <c r="F85" s="9"/>
      <c r="G85" s="9"/>
    </row>
    <row r="86" spans="5:7" ht="15.75">
      <c r="E86" s="8"/>
      <c r="F86" s="9"/>
      <c r="G86" s="9"/>
    </row>
    <row r="87" spans="5:7" ht="15.75">
      <c r="E87" s="8"/>
      <c r="F87" s="9"/>
      <c r="G87" s="9"/>
    </row>
    <row r="88" spans="5:7" ht="15.75">
      <c r="E88" s="8"/>
      <c r="F88" s="9"/>
      <c r="G88" s="9"/>
    </row>
    <row r="89" spans="5:7" ht="15.75">
      <c r="E89" s="8"/>
      <c r="F89" s="9"/>
      <c r="G89" s="9"/>
    </row>
    <row r="90" spans="5:7" ht="15.75">
      <c r="E90" s="8"/>
      <c r="F90" s="9"/>
      <c r="G90" s="9"/>
    </row>
    <row r="91" spans="5:7" ht="15.75">
      <c r="E91" s="8"/>
      <c r="F91" s="9"/>
      <c r="G91" s="9"/>
    </row>
    <row r="92" spans="5:7" ht="15.75">
      <c r="E92" s="8"/>
      <c r="F92" s="9"/>
      <c r="G92" s="9"/>
    </row>
    <row r="93" spans="5:7" ht="15.75">
      <c r="E93" s="8"/>
      <c r="F93" s="9"/>
      <c r="G93" s="9"/>
    </row>
    <row r="94" spans="5:7" ht="15.75">
      <c r="E94" s="8"/>
      <c r="F94" s="9"/>
      <c r="G94" s="9"/>
    </row>
    <row r="95" spans="5:7" ht="15.75">
      <c r="E95" s="8"/>
      <c r="F95" s="9"/>
      <c r="G95" s="9"/>
    </row>
    <row r="96" spans="5:7" ht="15.75">
      <c r="E96" s="8"/>
      <c r="F96" s="9"/>
      <c r="G96" s="9"/>
    </row>
    <row r="97" spans="5:7" ht="15.75">
      <c r="E97" s="8"/>
      <c r="F97" s="9"/>
      <c r="G97" s="9"/>
    </row>
    <row r="98" spans="5:7" ht="15.75">
      <c r="E98" s="8"/>
      <c r="F98" s="9"/>
      <c r="G98" s="9"/>
    </row>
    <row r="99" spans="5:7" ht="15.75">
      <c r="E99" s="8"/>
      <c r="F99" s="9"/>
      <c r="G99" s="9"/>
    </row>
    <row r="100" spans="5:7" ht="15.75">
      <c r="E100" s="8"/>
      <c r="F100" s="9"/>
      <c r="G100" s="9"/>
    </row>
    <row r="101" spans="5:7" ht="15.75">
      <c r="E101" s="8"/>
      <c r="F101" s="9"/>
      <c r="G101" s="9"/>
    </row>
    <row r="102" spans="5:7" ht="15.75">
      <c r="E102" s="8"/>
      <c r="F102" s="9"/>
      <c r="G102" s="9"/>
    </row>
    <row r="103" spans="5:7" ht="15.75">
      <c r="E103" s="8"/>
      <c r="F103" s="9"/>
      <c r="G103" s="9"/>
    </row>
    <row r="104" spans="5:7" ht="15.75">
      <c r="E104" s="8"/>
      <c r="F104" s="9"/>
      <c r="G104" s="9"/>
    </row>
    <row r="105" spans="5:7" ht="15.75">
      <c r="E105" s="8"/>
      <c r="F105" s="9"/>
      <c r="G105" s="9"/>
    </row>
    <row r="106" spans="5:7" ht="15.75">
      <c r="E106" s="8"/>
      <c r="F106" s="9"/>
      <c r="G106" s="9"/>
    </row>
  </sheetData>
  <sheetProtection/>
  <mergeCells count="11">
    <mergeCell ref="E16:E17"/>
    <mergeCell ref="F16:F17"/>
    <mergeCell ref="I16:I17"/>
    <mergeCell ref="E18:E19"/>
    <mergeCell ref="I18:I19"/>
    <mergeCell ref="E22:E24"/>
    <mergeCell ref="I22:I24"/>
    <mergeCell ref="E25:E26"/>
    <mergeCell ref="I25:I26"/>
    <mergeCell ref="E20:E21"/>
    <mergeCell ref="I20:I21"/>
  </mergeCells>
  <dataValidations count="17">
    <dataValidation allowBlank="1" showInputMessage="1" showErrorMessage="1" promptTitle="http://giaxaydung.vn/diendan" prompt="Thay giá trị nhiên liệu, năng lượng phù hợp vào đây" sqref="C34:C39"/>
    <dataValidation allowBlank="1" showInputMessage="1" showErrorMessage="1" promptTitle="http://giaxaydung.vn/diendan" prompt="Hãy chọn hệ số ở phần hướng dẫn chung trong cuốn đơn giá của địa phương nơi có công trình bạn đang lập dự toán." sqref="C25:C27 C31"/>
    <dataValidation allowBlank="1" showInputMessage="1" showErrorMessage="1" prompt="Bậc hàng được khai báo trong File cơ sở dữ liệu TDVT.csv. Khi tính CPVC chương trình sẽ căn cứ vào bậc hàng để lấy hệ số tương ứng tại đây." sqref="R1:S6"/>
    <dataValidation allowBlank="1" showInputMessage="1" showErrorMessage="1" prompt="Đây là bảng cước vận chuyển của Hà Nội. Nếu bạn làm ở tỉnh khác hãy nhập dữ liệu vào đây. Lưu ý nếu cự ly lớn hơn giá trị cuối cùng thì chương trình sẽ lấy giá cước của cự ly cuối cùng" sqref="E31"/>
    <dataValidation allowBlank="1" showInputMessage="1" showErrorMessage="1" prompt="Trực tiếp phí khác" sqref="G3"/>
    <dataValidation allowBlank="1" showInputMessage="1" showErrorMessage="1" prompt="Sửa các thông tin ở đây cho phù hợp với công trình của bạn" sqref="B10"/>
    <dataValidation allowBlank="1" showInputMessage="1" showErrorMessage="1" prompt="Hãy nhập tên cho công trình của bạn vào đây" sqref="B4"/>
    <dataValidation allowBlank="1" showInputMessage="1" showErrorMessage="1" prompt="Gõ tên hạng mục công trình vào đây" sqref="B6"/>
    <dataValidation allowBlank="1" showInputMessage="1" showErrorMessage="1" prompt="Nhập thông tin Chủ đầu tư của dự án" sqref="B8"/>
    <dataValidation allowBlank="1" showInputMessage="1" showErrorMessage="1" sqref="F21:F22 F19"/>
    <dataValidation allowBlank="1" showInputMessage="1" showErrorMessage="1" promptTitle="http://giaxaydung.vn/diendan" prompt="Thông tư số 04/2005/TT-BLĐTBXH ngày 05/01/2005 của Bộ LĐTBXH hướng dẫn thực hiện chế độ phụ cấp độc hại, nguy hiểm. Xem thêm Thông tư số 07/2005/TT-BLĐTBXH." sqref="C30"/>
    <dataValidation allowBlank="1" showInputMessage="1" showErrorMessage="1" promptTitle="http://giaxaydung.vn/diendan" prompt="Thông tư số 05/2005/ TT-BLĐTBXH ngày 05/01/2005 của Bộ LĐTBXH hướng dẫn thực hiện chế độ phụ cấp lưu động. Căn cứ thêm hệ số ở phần hướng dẫn chung trong cuốn đơn giá địa phương nơi có công trình bạn đang lập dự toán." sqref="C24"/>
    <dataValidation allowBlank="1" showInputMessage="1" showErrorMessage="1" promptTitle="http://giaxaydung.vn/diendan" prompt="Thông tư liên tịch số 11/2005/TTTL-BNV-BLĐTBXH-BTC-UBDT ngày 05/01/2005 hướng dẫn chế độ phụ cấp khu vực." sqref="C28"/>
    <dataValidation allowBlank="1" showInputMessage="1" showErrorMessage="1" promptTitle="http://giaxaydung.vn/diendan" prompt="Thông tư liên tịch số 10/2005/TTTL-BNV-BLĐTBXH-BTC-UBDT ngày 05/01/2005 hướng dẫn chế độ phụ cấp thu hút." sqref="C29"/>
    <dataValidation allowBlank="1" showInputMessage="1" showErrorMessage="1" promptTitle="http://giaxaydung.vn/diendan" prompt="Thông tư liên tịch số 08/2005/TTLT/BNV-BTC ngày 05/01/2005 hướng dẫn thực hiện chế độ trả lương làm việc vào ban đêm làm thêm giờ." sqref="C32"/>
    <dataValidation allowBlank="1" showInputMessage="1" showErrorMessage="1" promptTitle="http://giaxaydung.vn/diendan" prompt="Nghị định 97/2009/NĐ-CP ngày 30/10/2009 của chính phủ Quy định mức lương tối thiểu vùng." sqref="C23"/>
    <dataValidation allowBlank="1" showInputMessage="1" showErrorMessage="1" promptTitle="http://giaxaydung.vn/diendan" prompt="Nghị định số 28/2010/NĐ-CP ngày 25/03/2010 của Chính phủ quy định mức lương tối thiểu chung." sqref="C22"/>
  </dataValidations>
  <hyperlinks>
    <hyperlink ref="F21" r:id="rId1" display="www.giaxaydung.vn"/>
    <hyperlink ref="F22" r:id="rId2" display="www.thuvien.giaxaydung.vn"/>
    <hyperlink ref="F24" r:id="rId3" display="www.tracnghiem.giaxaydung.vn"/>
  </hyperlinks>
  <printOptions/>
  <pageMargins left="0.75" right="0.25" top="0.5" bottom="0.5" header="0.25" footer="0.25"/>
  <pageSetup horizontalDpi="300" verticalDpi="300" orientation="portrait" paperSize="9" r:id="rId4"/>
  <headerFooter alignWithMargins="0">
    <oddHeader>&amp;L&amp;"Times New Roman,nghiêng"&amp;9Dự toán GXD - www.giaxaydung.vn</oddHeader>
    <oddFooter>&amp;C&amp;P</oddFooter>
  </headerFooter>
</worksheet>
</file>

<file path=xl/worksheets/sheet3.xml><?xml version="1.0" encoding="utf-8"?>
<worksheet xmlns="http://schemas.openxmlformats.org/spreadsheetml/2006/main" xmlns:r="http://schemas.openxmlformats.org/officeDocument/2006/relationships">
  <sheetPr codeName="Sheet17">
    <tabColor indexed="10"/>
  </sheetPr>
  <dimension ref="A1:M350"/>
  <sheetViews>
    <sheetView showZeros="0" view="pageBreakPreview" zoomScale="85" zoomScaleSheetLayoutView="85" zoomScalePageLayoutView="0" workbookViewId="0" topLeftCell="A64">
      <selection activeCell="H5" sqref="H5"/>
    </sheetView>
  </sheetViews>
  <sheetFormatPr defaultColWidth="10.28125" defaultRowHeight="15"/>
  <cols>
    <col min="1" max="2" width="9.57421875" style="211" customWidth="1"/>
    <col min="3" max="3" width="11.28125" style="212" customWidth="1"/>
    <col min="4" max="4" width="11.140625" style="213" customWidth="1"/>
    <col min="5" max="5" width="13.140625" style="214" customWidth="1"/>
    <col min="6" max="6" width="12.8515625" style="214" customWidth="1"/>
    <col min="7" max="8" width="13.28125" style="214" customWidth="1"/>
    <col min="9" max="9" width="13.57421875" style="214" customWidth="1"/>
    <col min="10" max="10" width="13.28125" style="214" customWidth="1"/>
    <col min="11" max="12" width="13.28125" style="214" hidden="1" customWidth="1"/>
    <col min="13" max="13" width="14.421875" style="214" customWidth="1"/>
    <col min="14" max="14" width="12.8515625" style="127" bestFit="1" customWidth="1"/>
    <col min="15" max="16384" width="10.28125" style="127" customWidth="1"/>
  </cols>
  <sheetData>
    <row r="1" spans="1:13" s="72" customFormat="1" ht="19.5">
      <c r="A1" s="70" t="s">
        <v>1387</v>
      </c>
      <c r="B1" s="71"/>
      <c r="C1" s="71"/>
      <c r="D1" s="71"/>
      <c r="E1" s="71"/>
      <c r="F1" s="71"/>
      <c r="G1" s="71"/>
      <c r="H1" s="71"/>
      <c r="I1" s="71"/>
      <c r="J1" s="71"/>
      <c r="K1" s="71"/>
      <c r="L1" s="71"/>
      <c r="M1" s="71"/>
    </row>
    <row r="2" spans="1:13" s="72" customFormat="1" ht="18.75">
      <c r="A2" s="14"/>
      <c r="B2" s="73"/>
      <c r="C2" s="74"/>
      <c r="D2" s="73"/>
      <c r="E2" s="75"/>
      <c r="F2" s="75"/>
      <c r="G2" s="75"/>
      <c r="H2" s="75"/>
      <c r="I2" s="75"/>
      <c r="J2" s="75"/>
      <c r="K2" s="75"/>
      <c r="L2" s="75"/>
      <c r="M2" s="75"/>
    </row>
    <row r="3" spans="1:13" s="72" customFormat="1" ht="18.75">
      <c r="A3" s="242"/>
      <c r="B3" s="243"/>
      <c r="C3" s="244"/>
      <c r="D3" s="243"/>
      <c r="E3" s="75" t="s">
        <v>818</v>
      </c>
      <c r="F3" s="75"/>
      <c r="G3" s="245"/>
      <c r="H3" s="75" t="s">
        <v>819</v>
      </c>
      <c r="I3" s="75"/>
      <c r="J3" s="75" t="s">
        <v>820</v>
      </c>
      <c r="K3" s="75"/>
      <c r="L3" s="75"/>
      <c r="M3" s="75"/>
    </row>
    <row r="4" spans="1:13" s="72" customFormat="1" ht="21.75" customHeight="1">
      <c r="A4" s="135" t="s">
        <v>130</v>
      </c>
      <c r="B4" s="246"/>
      <c r="C4" s="246"/>
      <c r="D4" s="246"/>
      <c r="E4" s="76">
        <f>Ts!C22</f>
        <v>1050000</v>
      </c>
      <c r="F4" s="77" t="s">
        <v>1388</v>
      </c>
      <c r="H4" s="76">
        <v>1050000</v>
      </c>
      <c r="I4" s="77" t="s">
        <v>1388</v>
      </c>
      <c r="J4" s="76">
        <v>830000</v>
      </c>
      <c r="K4" s="77"/>
      <c r="L4" s="76"/>
      <c r="M4" s="77" t="s">
        <v>1388</v>
      </c>
    </row>
    <row r="5" spans="1:13" s="72" customFormat="1" ht="21.75" customHeight="1">
      <c r="A5" s="135" t="s">
        <v>131</v>
      </c>
      <c r="B5" s="246"/>
      <c r="C5" s="246"/>
      <c r="D5" s="246"/>
      <c r="E5" s="76">
        <f>Ts!C23</f>
        <v>1050000</v>
      </c>
      <c r="F5" s="77" t="s">
        <v>1388</v>
      </c>
      <c r="H5" s="76">
        <f>H4</f>
        <v>1050000</v>
      </c>
      <c r="I5" s="77" t="s">
        <v>1388</v>
      </c>
      <c r="J5" s="76">
        <f>J4</f>
        <v>830000</v>
      </c>
      <c r="K5" s="77"/>
      <c r="L5" s="76"/>
      <c r="M5" s="77" t="s">
        <v>1388</v>
      </c>
    </row>
    <row r="6" spans="1:13" s="72" customFormat="1" ht="21.75" customHeight="1">
      <c r="A6" s="135" t="s">
        <v>123</v>
      </c>
      <c r="B6" s="246"/>
      <c r="C6" s="246"/>
      <c r="D6" s="246"/>
      <c r="E6" s="76"/>
      <c r="F6" s="77"/>
      <c r="H6" s="75"/>
      <c r="I6" s="75"/>
      <c r="J6" s="75"/>
      <c r="K6" s="75"/>
      <c r="L6" s="75"/>
      <c r="M6" s="75"/>
    </row>
    <row r="7" spans="1:13" ht="21.75" customHeight="1">
      <c r="A7" s="125"/>
      <c r="B7" s="125"/>
      <c r="C7" s="128" t="str">
        <f>Ts!B24</f>
        <v>Phụ cấp lưu động (20%LTTC)</v>
      </c>
      <c r="D7" s="129"/>
      <c r="E7" s="130"/>
      <c r="F7" s="131">
        <f>$E$4*luudong</f>
        <v>210000</v>
      </c>
      <c r="G7" s="132" t="s">
        <v>124</v>
      </c>
      <c r="H7" s="127"/>
      <c r="I7" s="126"/>
      <c r="J7" s="126"/>
      <c r="K7" s="126"/>
      <c r="L7" s="126"/>
      <c r="M7" s="126"/>
    </row>
    <row r="8" spans="1:13" ht="21.75" customHeight="1">
      <c r="A8" s="125"/>
      <c r="B8" s="125"/>
      <c r="C8" s="128" t="str">
        <f>Ts!B28</f>
        <v>Phụ cấp khu vực (0%LTTC)</v>
      </c>
      <c r="D8" s="129"/>
      <c r="E8" s="130"/>
      <c r="F8" s="131">
        <f>$E$4*khuvuc</f>
        <v>0</v>
      </c>
      <c r="G8" s="132" t="s">
        <v>124</v>
      </c>
      <c r="H8" s="127"/>
      <c r="I8" s="126"/>
      <c r="J8" s="126"/>
      <c r="K8" s="126"/>
      <c r="L8" s="126"/>
      <c r="M8" s="126"/>
    </row>
    <row r="9" spans="1:13" ht="21.75" customHeight="1">
      <c r="A9" s="125"/>
      <c r="B9" s="125"/>
      <c r="C9" s="128" t="str">
        <f>Ts!B30</f>
        <v>Phục cấp độc hại (0%LTTC)</v>
      </c>
      <c r="D9" s="129"/>
      <c r="E9" s="130"/>
      <c r="F9" s="131">
        <f>$E$4*dochai</f>
        <v>0</v>
      </c>
      <c r="G9" s="132" t="s">
        <v>124</v>
      </c>
      <c r="H9" s="127"/>
      <c r="I9" s="126"/>
      <c r="J9" s="126"/>
      <c r="K9" s="126"/>
      <c r="L9" s="126"/>
      <c r="M9" s="127"/>
    </row>
    <row r="10" spans="1:13" ht="21.75" customHeight="1">
      <c r="A10" s="125"/>
      <c r="B10" s="125"/>
      <c r="C10" s="137" t="s">
        <v>125</v>
      </c>
      <c r="D10" s="129"/>
      <c r="E10" s="130"/>
      <c r="F10" s="138">
        <f>SUM(F7:F9)</f>
        <v>210000</v>
      </c>
      <c r="G10" s="139" t="s">
        <v>124</v>
      </c>
      <c r="H10" s="127"/>
      <c r="I10" s="126"/>
      <c r="J10" s="126"/>
      <c r="K10" s="126"/>
      <c r="L10" s="126"/>
      <c r="M10" s="127"/>
    </row>
    <row r="11" spans="1:13" s="72" customFormat="1" ht="15">
      <c r="A11" s="78"/>
      <c r="B11" s="79"/>
      <c r="C11" s="80"/>
      <c r="D11" s="78"/>
      <c r="E11" s="81"/>
      <c r="F11" s="81"/>
      <c r="G11" s="81"/>
      <c r="H11" s="81"/>
      <c r="I11" s="82"/>
      <c r="J11" s="82"/>
      <c r="K11" s="82"/>
      <c r="L11" s="82"/>
      <c r="M11" s="82"/>
    </row>
    <row r="12" spans="1:13" s="72" customFormat="1" ht="15" customHeight="1">
      <c r="A12" s="375" t="s">
        <v>1268</v>
      </c>
      <c r="B12" s="372" t="s">
        <v>1277</v>
      </c>
      <c r="C12" s="375" t="s">
        <v>1389</v>
      </c>
      <c r="D12" s="372" t="s">
        <v>1390</v>
      </c>
      <c r="E12" s="372" t="s">
        <v>133</v>
      </c>
      <c r="F12" s="372" t="s">
        <v>126</v>
      </c>
      <c r="G12" s="136" t="s">
        <v>127</v>
      </c>
      <c r="H12" s="83"/>
      <c r="I12" s="84"/>
      <c r="J12" s="84"/>
      <c r="K12" s="84"/>
      <c r="L12" s="83"/>
      <c r="M12" s="372" t="s">
        <v>132</v>
      </c>
    </row>
    <row r="13" spans="1:13" s="72" customFormat="1" ht="36" customHeight="1">
      <c r="A13" s="376"/>
      <c r="B13" s="373"/>
      <c r="C13" s="376"/>
      <c r="D13" s="373"/>
      <c r="E13" s="373"/>
      <c r="F13" s="373" t="s">
        <v>1391</v>
      </c>
      <c r="G13" s="85" t="s">
        <v>1393</v>
      </c>
      <c r="H13" s="85" t="s">
        <v>1394</v>
      </c>
      <c r="I13" s="85" t="s">
        <v>1395</v>
      </c>
      <c r="J13" s="85" t="s">
        <v>1392</v>
      </c>
      <c r="K13" s="85" t="s">
        <v>121</v>
      </c>
      <c r="L13" s="85" t="s">
        <v>122</v>
      </c>
      <c r="M13" s="373"/>
    </row>
    <row r="14" spans="1:13" s="72" customFormat="1" ht="15" customHeight="1">
      <c r="A14" s="377"/>
      <c r="B14" s="378"/>
      <c r="C14" s="377"/>
      <c r="D14" s="374"/>
      <c r="E14" s="374"/>
      <c r="F14" s="374"/>
      <c r="G14" s="86">
        <f>Ts!$C$25</f>
        <v>0.12</v>
      </c>
      <c r="H14" s="86">
        <f>Ts!$C$26</f>
        <v>0.04</v>
      </c>
      <c r="I14" s="86">
        <f>Ts!$C$27</f>
        <v>0.1</v>
      </c>
      <c r="J14" s="86">
        <f>thuhut</f>
        <v>0</v>
      </c>
      <c r="K14" s="86">
        <f>Ts!$C$31</f>
        <v>0</v>
      </c>
      <c r="L14" s="86">
        <f>Ts!$C$32</f>
        <v>0</v>
      </c>
      <c r="M14" s="374"/>
    </row>
    <row r="15" spans="1:13" ht="24" customHeight="1">
      <c r="A15" s="156" t="s">
        <v>554</v>
      </c>
      <c r="B15" s="156"/>
      <c r="C15" s="157"/>
      <c r="D15" s="158"/>
      <c r="E15" s="159"/>
      <c r="F15" s="159"/>
      <c r="G15" s="159"/>
      <c r="H15" s="159"/>
      <c r="I15" s="159"/>
      <c r="J15" s="159"/>
      <c r="K15" s="159"/>
      <c r="L15" s="159"/>
      <c r="M15" s="159"/>
    </row>
    <row r="16" spans="1:13" ht="26.25" customHeight="1">
      <c r="A16" s="160" t="s">
        <v>555</v>
      </c>
      <c r="B16" s="160"/>
      <c r="C16" s="161"/>
      <c r="D16" s="162"/>
      <c r="E16" s="163"/>
      <c r="F16" s="164"/>
      <c r="G16" s="164"/>
      <c r="H16" s="164"/>
      <c r="I16" s="164"/>
      <c r="J16" s="164"/>
      <c r="K16" s="164"/>
      <c r="L16" s="164"/>
      <c r="M16" s="165"/>
    </row>
    <row r="17" spans="1:13" ht="18">
      <c r="A17" s="166" t="s">
        <v>1396</v>
      </c>
      <c r="B17" s="166" t="s">
        <v>556</v>
      </c>
      <c r="C17" s="161">
        <v>2</v>
      </c>
      <c r="D17" s="167">
        <v>1.83</v>
      </c>
      <c r="E17" s="168">
        <f>D17*LTT</f>
        <v>1921500</v>
      </c>
      <c r="F17" s="168">
        <f aca="true" t="shared" si="0" ref="F17:F33">$F$10</f>
        <v>210000</v>
      </c>
      <c r="G17" s="168">
        <f aca="true" t="shared" si="1" ref="G17:G33">E17*luongphu</f>
        <v>230580</v>
      </c>
      <c r="H17" s="168">
        <f aca="true" t="shared" si="2" ref="H17:H33">E17*khoantructiep</f>
        <v>76860</v>
      </c>
      <c r="I17" s="168">
        <f aca="true" t="shared" si="3" ref="I17:I33">E17*KhongOndinhSX</f>
        <v>192150</v>
      </c>
      <c r="J17" s="168">
        <f aca="true" t="shared" si="4" ref="J17:J33">E17*thuhut</f>
        <v>0</v>
      </c>
      <c r="K17" s="168">
        <f>E17*dacbiet</f>
        <v>0</v>
      </c>
      <c r="L17" s="168"/>
      <c r="M17" s="168">
        <f aca="true" t="shared" si="5" ref="M17:M67">SUM(E17:L17)/26</f>
        <v>101195.76923076923</v>
      </c>
    </row>
    <row r="18" spans="1:13" ht="18">
      <c r="A18" s="166" t="s">
        <v>1397</v>
      </c>
      <c r="B18" s="166" t="s">
        <v>557</v>
      </c>
      <c r="C18" s="161">
        <v>2.5</v>
      </c>
      <c r="D18" s="167">
        <f>D17+(D20-D17)*0.5</f>
        <v>1.995</v>
      </c>
      <c r="E18" s="168">
        <f aca="true" t="shared" si="6" ref="E18:E33">D18*LTT</f>
        <v>2094750</v>
      </c>
      <c r="F18" s="168">
        <f t="shared" si="0"/>
        <v>210000</v>
      </c>
      <c r="G18" s="168">
        <f t="shared" si="1"/>
        <v>251370</v>
      </c>
      <c r="H18" s="168">
        <f t="shared" si="2"/>
        <v>83790</v>
      </c>
      <c r="I18" s="168">
        <f t="shared" si="3"/>
        <v>209475</v>
      </c>
      <c r="J18" s="168">
        <f t="shared" si="4"/>
        <v>0</v>
      </c>
      <c r="K18" s="168"/>
      <c r="L18" s="168"/>
      <c r="M18" s="168">
        <f t="shared" si="5"/>
        <v>109591.73076923077</v>
      </c>
    </row>
    <row r="19" spans="1:13" ht="18">
      <c r="A19" s="166" t="s">
        <v>1398</v>
      </c>
      <c r="B19" s="166" t="s">
        <v>558</v>
      </c>
      <c r="C19" s="161">
        <v>2.7</v>
      </c>
      <c r="D19" s="167">
        <f>D17+(D20-D17)*0.7</f>
        <v>2.061</v>
      </c>
      <c r="E19" s="168">
        <f t="shared" si="6"/>
        <v>2164050</v>
      </c>
      <c r="F19" s="168">
        <f t="shared" si="0"/>
        <v>210000</v>
      </c>
      <c r="G19" s="168">
        <f t="shared" si="1"/>
        <v>259686</v>
      </c>
      <c r="H19" s="168">
        <f t="shared" si="2"/>
        <v>86562</v>
      </c>
      <c r="I19" s="168">
        <f t="shared" si="3"/>
        <v>216405</v>
      </c>
      <c r="J19" s="168">
        <f t="shared" si="4"/>
        <v>0</v>
      </c>
      <c r="K19" s="168"/>
      <c r="L19" s="168"/>
      <c r="M19" s="168">
        <f t="shared" si="5"/>
        <v>112950.11538461539</v>
      </c>
    </row>
    <row r="20" spans="1:13" ht="18">
      <c r="A20" s="231" t="s">
        <v>1399</v>
      </c>
      <c r="B20" s="231" t="s">
        <v>559</v>
      </c>
      <c r="C20" s="232">
        <v>3</v>
      </c>
      <c r="D20" s="233">
        <v>2.16</v>
      </c>
      <c r="E20" s="234">
        <f t="shared" si="6"/>
        <v>2268000</v>
      </c>
      <c r="F20" s="234">
        <f t="shared" si="0"/>
        <v>210000</v>
      </c>
      <c r="G20" s="234">
        <f t="shared" si="1"/>
        <v>272160</v>
      </c>
      <c r="H20" s="234">
        <f t="shared" si="2"/>
        <v>90720</v>
      </c>
      <c r="I20" s="234">
        <f t="shared" si="3"/>
        <v>226800</v>
      </c>
      <c r="J20" s="234">
        <f t="shared" si="4"/>
        <v>0</v>
      </c>
      <c r="K20" s="234"/>
      <c r="L20" s="234"/>
      <c r="M20" s="234">
        <f t="shared" si="5"/>
        <v>117987.69230769231</v>
      </c>
    </row>
    <row r="21" spans="1:13" ht="18">
      <c r="A21" s="166" t="s">
        <v>1400</v>
      </c>
      <c r="B21" s="166" t="s">
        <v>560</v>
      </c>
      <c r="C21" s="161">
        <v>3.2</v>
      </c>
      <c r="D21" s="167">
        <f>D20+(D25-D20)*0.2</f>
        <v>2.238</v>
      </c>
      <c r="E21" s="168">
        <f t="shared" si="6"/>
        <v>2349900</v>
      </c>
      <c r="F21" s="168">
        <f t="shared" si="0"/>
        <v>210000</v>
      </c>
      <c r="G21" s="168">
        <f t="shared" si="1"/>
        <v>281988</v>
      </c>
      <c r="H21" s="168">
        <f t="shared" si="2"/>
        <v>93996</v>
      </c>
      <c r="I21" s="168">
        <f t="shared" si="3"/>
        <v>234990</v>
      </c>
      <c r="J21" s="168">
        <f t="shared" si="4"/>
        <v>0</v>
      </c>
      <c r="K21" s="168"/>
      <c r="L21" s="168"/>
      <c r="M21" s="168">
        <f t="shared" si="5"/>
        <v>121956.69230769231</v>
      </c>
    </row>
    <row r="22" spans="1:13" ht="18">
      <c r="A22" s="166" t="s">
        <v>1401</v>
      </c>
      <c r="B22" s="166" t="s">
        <v>561</v>
      </c>
      <c r="C22" s="161">
        <v>3.3</v>
      </c>
      <c r="D22" s="167">
        <f>D20+(D25-D20)*0.3</f>
        <v>2.277</v>
      </c>
      <c r="E22" s="168">
        <f t="shared" si="6"/>
        <v>2390850</v>
      </c>
      <c r="F22" s="168">
        <f t="shared" si="0"/>
        <v>210000</v>
      </c>
      <c r="G22" s="168">
        <f t="shared" si="1"/>
        <v>286902</v>
      </c>
      <c r="H22" s="168">
        <f t="shared" si="2"/>
        <v>95634</v>
      </c>
      <c r="I22" s="168">
        <f t="shared" si="3"/>
        <v>239085</v>
      </c>
      <c r="J22" s="168">
        <f t="shared" si="4"/>
        <v>0</v>
      </c>
      <c r="K22" s="168"/>
      <c r="L22" s="168"/>
      <c r="M22" s="168">
        <f t="shared" si="5"/>
        <v>123941.19230769231</v>
      </c>
    </row>
    <row r="23" spans="1:13" ht="18">
      <c r="A23" s="166" t="s">
        <v>1402</v>
      </c>
      <c r="B23" s="166" t="s">
        <v>562</v>
      </c>
      <c r="C23" s="161">
        <v>3.5</v>
      </c>
      <c r="D23" s="167">
        <f>D20+(D25-D20)*0.5</f>
        <v>2.355</v>
      </c>
      <c r="E23" s="168">
        <f t="shared" si="6"/>
        <v>2472750</v>
      </c>
      <c r="F23" s="168">
        <f t="shared" si="0"/>
        <v>210000</v>
      </c>
      <c r="G23" s="168">
        <f t="shared" si="1"/>
        <v>296730</v>
      </c>
      <c r="H23" s="168">
        <f t="shared" si="2"/>
        <v>98910</v>
      </c>
      <c r="I23" s="168">
        <f t="shared" si="3"/>
        <v>247275</v>
      </c>
      <c r="J23" s="168">
        <f t="shared" si="4"/>
        <v>0</v>
      </c>
      <c r="K23" s="168"/>
      <c r="L23" s="168"/>
      <c r="M23" s="168">
        <f t="shared" si="5"/>
        <v>127910.19230769231</v>
      </c>
    </row>
    <row r="24" spans="1:13" ht="18">
      <c r="A24" s="166" t="s">
        <v>1403</v>
      </c>
      <c r="B24" s="166" t="s">
        <v>563</v>
      </c>
      <c r="C24" s="161">
        <v>3.7</v>
      </c>
      <c r="D24" s="167">
        <f>D20+(D25-D20)*0.7</f>
        <v>2.433</v>
      </c>
      <c r="E24" s="168">
        <f t="shared" si="6"/>
        <v>2554650</v>
      </c>
      <c r="F24" s="168">
        <f t="shared" si="0"/>
        <v>210000</v>
      </c>
      <c r="G24" s="168">
        <f t="shared" si="1"/>
        <v>306558</v>
      </c>
      <c r="H24" s="168">
        <f t="shared" si="2"/>
        <v>102186</v>
      </c>
      <c r="I24" s="168">
        <f t="shared" si="3"/>
        <v>255465</v>
      </c>
      <c r="J24" s="168">
        <f t="shared" si="4"/>
        <v>0</v>
      </c>
      <c r="K24" s="168"/>
      <c r="L24" s="168"/>
      <c r="M24" s="168">
        <f t="shared" si="5"/>
        <v>131879.1923076923</v>
      </c>
    </row>
    <row r="25" spans="1:13" ht="18">
      <c r="A25" s="166" t="s">
        <v>1404</v>
      </c>
      <c r="B25" s="166" t="s">
        <v>564</v>
      </c>
      <c r="C25" s="161">
        <v>4</v>
      </c>
      <c r="D25" s="167">
        <v>2.55</v>
      </c>
      <c r="E25" s="168">
        <f t="shared" si="6"/>
        <v>2677500</v>
      </c>
      <c r="F25" s="168">
        <f t="shared" si="0"/>
        <v>210000</v>
      </c>
      <c r="G25" s="168">
        <f t="shared" si="1"/>
        <v>321300</v>
      </c>
      <c r="H25" s="168">
        <f t="shared" si="2"/>
        <v>107100</v>
      </c>
      <c r="I25" s="168">
        <f t="shared" si="3"/>
        <v>267750</v>
      </c>
      <c r="J25" s="168">
        <f t="shared" si="4"/>
        <v>0</v>
      </c>
      <c r="K25" s="168"/>
      <c r="L25" s="168"/>
      <c r="M25" s="168">
        <f t="shared" si="5"/>
        <v>137832.6923076923</v>
      </c>
    </row>
    <row r="26" spans="1:13" ht="18">
      <c r="A26" s="166" t="s">
        <v>1405</v>
      </c>
      <c r="B26" s="166" t="s">
        <v>565</v>
      </c>
      <c r="C26" s="161">
        <v>4.3</v>
      </c>
      <c r="D26" s="167">
        <f>D25+(D29-D25)*0.3</f>
        <v>2.6879999999999997</v>
      </c>
      <c r="E26" s="168">
        <f t="shared" si="6"/>
        <v>2822399.9999999995</v>
      </c>
      <c r="F26" s="168">
        <f t="shared" si="0"/>
        <v>210000</v>
      </c>
      <c r="G26" s="168">
        <f t="shared" si="1"/>
        <v>338687.99999999994</v>
      </c>
      <c r="H26" s="168">
        <f t="shared" si="2"/>
        <v>112895.99999999999</v>
      </c>
      <c r="I26" s="168">
        <f t="shared" si="3"/>
        <v>282239.99999999994</v>
      </c>
      <c r="J26" s="168">
        <f t="shared" si="4"/>
        <v>0</v>
      </c>
      <c r="K26" s="168"/>
      <c r="L26" s="168"/>
      <c r="M26" s="168">
        <f t="shared" si="5"/>
        <v>144854.76923076922</v>
      </c>
    </row>
    <row r="27" spans="1:13" ht="18">
      <c r="A27" s="166" t="s">
        <v>1406</v>
      </c>
      <c r="B27" s="166" t="s">
        <v>566</v>
      </c>
      <c r="C27" s="161">
        <v>4.5</v>
      </c>
      <c r="D27" s="167">
        <f>D25+(D29-D25)*0.5</f>
        <v>2.78</v>
      </c>
      <c r="E27" s="168">
        <f t="shared" si="6"/>
        <v>2919000</v>
      </c>
      <c r="F27" s="168">
        <f t="shared" si="0"/>
        <v>210000</v>
      </c>
      <c r="G27" s="168">
        <f t="shared" si="1"/>
        <v>350280</v>
      </c>
      <c r="H27" s="168">
        <f t="shared" si="2"/>
        <v>116760</v>
      </c>
      <c r="I27" s="168">
        <f t="shared" si="3"/>
        <v>291900</v>
      </c>
      <c r="J27" s="168">
        <f t="shared" si="4"/>
        <v>0</v>
      </c>
      <c r="K27" s="168"/>
      <c r="L27" s="168"/>
      <c r="M27" s="168">
        <f t="shared" si="5"/>
        <v>149536.15384615384</v>
      </c>
    </row>
    <row r="28" spans="1:13" ht="18">
      <c r="A28" s="166" t="s">
        <v>1407</v>
      </c>
      <c r="B28" s="166"/>
      <c r="C28" s="161">
        <v>4.7</v>
      </c>
      <c r="D28" s="167">
        <f>D25+(D29-D25)*0.7</f>
        <v>2.872</v>
      </c>
      <c r="E28" s="168">
        <f t="shared" si="6"/>
        <v>3015600</v>
      </c>
      <c r="F28" s="168">
        <f t="shared" si="0"/>
        <v>210000</v>
      </c>
      <c r="G28" s="168">
        <f t="shared" si="1"/>
        <v>361872</v>
      </c>
      <c r="H28" s="168">
        <f t="shared" si="2"/>
        <v>120624</v>
      </c>
      <c r="I28" s="168">
        <f t="shared" si="3"/>
        <v>301560</v>
      </c>
      <c r="J28" s="168">
        <f t="shared" si="4"/>
        <v>0</v>
      </c>
      <c r="K28" s="168"/>
      <c r="L28" s="168"/>
      <c r="M28" s="168">
        <f t="shared" si="5"/>
        <v>154217.53846153847</v>
      </c>
    </row>
    <row r="29" spans="1:13" ht="18">
      <c r="A29" s="166" t="s">
        <v>1408</v>
      </c>
      <c r="B29" s="166" t="s">
        <v>567</v>
      </c>
      <c r="C29" s="161">
        <v>5</v>
      </c>
      <c r="D29" s="167">
        <v>3.01</v>
      </c>
      <c r="E29" s="168">
        <f t="shared" si="6"/>
        <v>3160500</v>
      </c>
      <c r="F29" s="168">
        <f t="shared" si="0"/>
        <v>210000</v>
      </c>
      <c r="G29" s="168">
        <f t="shared" si="1"/>
        <v>379260</v>
      </c>
      <c r="H29" s="168">
        <f t="shared" si="2"/>
        <v>126420</v>
      </c>
      <c r="I29" s="168">
        <f t="shared" si="3"/>
        <v>316050</v>
      </c>
      <c r="J29" s="168">
        <f t="shared" si="4"/>
        <v>0</v>
      </c>
      <c r="K29" s="168"/>
      <c r="L29" s="168"/>
      <c r="M29" s="168">
        <f t="shared" si="5"/>
        <v>161239.61538461538</v>
      </c>
    </row>
    <row r="30" spans="1:13" ht="18">
      <c r="A30" s="166" t="s">
        <v>1409</v>
      </c>
      <c r="B30" s="166"/>
      <c r="C30" s="161">
        <v>5.2</v>
      </c>
      <c r="D30" s="167">
        <f>D29+(D32-D29)*0.2</f>
        <v>3.1199999999999997</v>
      </c>
      <c r="E30" s="168">
        <f t="shared" si="6"/>
        <v>3275999.9999999995</v>
      </c>
      <c r="F30" s="168">
        <f t="shared" si="0"/>
        <v>210000</v>
      </c>
      <c r="G30" s="168">
        <f t="shared" si="1"/>
        <v>393119.99999999994</v>
      </c>
      <c r="H30" s="168">
        <f t="shared" si="2"/>
        <v>131039.99999999999</v>
      </c>
      <c r="I30" s="168">
        <f t="shared" si="3"/>
        <v>327600</v>
      </c>
      <c r="J30" s="168">
        <f t="shared" si="4"/>
        <v>0</v>
      </c>
      <c r="K30" s="168"/>
      <c r="L30" s="168"/>
      <c r="M30" s="168">
        <f t="shared" si="5"/>
        <v>166836.92307692306</v>
      </c>
    </row>
    <row r="31" spans="1:13" ht="18">
      <c r="A31" s="166" t="s">
        <v>1410</v>
      </c>
      <c r="B31" s="166"/>
      <c r="C31" s="161">
        <v>5.5</v>
      </c>
      <c r="D31" s="167">
        <f>D29+(D32-D29)*0.5</f>
        <v>3.285</v>
      </c>
      <c r="E31" s="168">
        <f t="shared" si="6"/>
        <v>3449250</v>
      </c>
      <c r="F31" s="168">
        <f t="shared" si="0"/>
        <v>210000</v>
      </c>
      <c r="G31" s="168">
        <f t="shared" si="1"/>
        <v>413910</v>
      </c>
      <c r="H31" s="168">
        <f t="shared" si="2"/>
        <v>137970</v>
      </c>
      <c r="I31" s="168">
        <f t="shared" si="3"/>
        <v>344925</v>
      </c>
      <c r="J31" s="168">
        <f t="shared" si="4"/>
        <v>0</v>
      </c>
      <c r="K31" s="168"/>
      <c r="L31" s="168"/>
      <c r="M31" s="168">
        <f t="shared" si="5"/>
        <v>175232.88461538462</v>
      </c>
    </row>
    <row r="32" spans="1:13" ht="18">
      <c r="A32" s="166" t="s">
        <v>1411</v>
      </c>
      <c r="B32" s="166"/>
      <c r="C32" s="161">
        <v>6</v>
      </c>
      <c r="D32" s="167">
        <v>3.56</v>
      </c>
      <c r="E32" s="168">
        <f t="shared" si="6"/>
        <v>3738000</v>
      </c>
      <c r="F32" s="168">
        <f t="shared" si="0"/>
        <v>210000</v>
      </c>
      <c r="G32" s="168">
        <f t="shared" si="1"/>
        <v>448560</v>
      </c>
      <c r="H32" s="168">
        <f t="shared" si="2"/>
        <v>149520</v>
      </c>
      <c r="I32" s="168">
        <f t="shared" si="3"/>
        <v>373800</v>
      </c>
      <c r="J32" s="168">
        <f t="shared" si="4"/>
        <v>0</v>
      </c>
      <c r="K32" s="168"/>
      <c r="L32" s="168"/>
      <c r="M32" s="168">
        <f t="shared" si="5"/>
        <v>189226.15384615384</v>
      </c>
    </row>
    <row r="33" spans="1:13" ht="18">
      <c r="A33" s="166" t="s">
        <v>568</v>
      </c>
      <c r="B33" s="166"/>
      <c r="C33" s="161">
        <v>7</v>
      </c>
      <c r="D33" s="167">
        <v>4.2</v>
      </c>
      <c r="E33" s="168">
        <f t="shared" si="6"/>
        <v>4410000</v>
      </c>
      <c r="F33" s="168">
        <f t="shared" si="0"/>
        <v>210000</v>
      </c>
      <c r="G33" s="168">
        <f t="shared" si="1"/>
        <v>529200</v>
      </c>
      <c r="H33" s="168">
        <f t="shared" si="2"/>
        <v>176400</v>
      </c>
      <c r="I33" s="168">
        <f t="shared" si="3"/>
        <v>441000</v>
      </c>
      <c r="J33" s="168">
        <f t="shared" si="4"/>
        <v>0</v>
      </c>
      <c r="K33" s="168"/>
      <c r="L33" s="168"/>
      <c r="M33" s="168">
        <f t="shared" si="5"/>
        <v>221792.3076923077</v>
      </c>
    </row>
    <row r="34" spans="1:13" ht="22.5" customHeight="1">
      <c r="A34" s="160" t="s">
        <v>569</v>
      </c>
      <c r="B34" s="160"/>
      <c r="C34" s="161"/>
      <c r="D34" s="167"/>
      <c r="E34" s="168"/>
      <c r="F34" s="168"/>
      <c r="G34" s="168"/>
      <c r="H34" s="168"/>
      <c r="I34" s="168"/>
      <c r="J34" s="168"/>
      <c r="K34" s="168"/>
      <c r="L34" s="168"/>
      <c r="M34" s="168"/>
    </row>
    <row r="35" spans="1:13" ht="18">
      <c r="A35" s="166" t="s">
        <v>1427</v>
      </c>
      <c r="B35" s="166"/>
      <c r="C35" s="161">
        <v>2</v>
      </c>
      <c r="D35" s="167">
        <v>1.96</v>
      </c>
      <c r="E35" s="168">
        <f aca="true" t="shared" si="7" ref="E35:E50">D35*LTT</f>
        <v>2058000</v>
      </c>
      <c r="F35" s="168">
        <f aca="true" t="shared" si="8" ref="F35:F50">$F$10</f>
        <v>210000</v>
      </c>
      <c r="G35" s="168">
        <f aca="true" t="shared" si="9" ref="G35:G50">E35*luongphu</f>
        <v>246960</v>
      </c>
      <c r="H35" s="168">
        <f aca="true" t="shared" si="10" ref="H35:H50">E35*khoantructiep</f>
        <v>82320</v>
      </c>
      <c r="I35" s="168">
        <f aca="true" t="shared" si="11" ref="I35:I50">E35*KhongOndinhSX</f>
        <v>205800</v>
      </c>
      <c r="J35" s="168">
        <f aca="true" t="shared" si="12" ref="J35:J50">E35*thuhut</f>
        <v>0</v>
      </c>
      <c r="K35" s="168"/>
      <c r="L35" s="168"/>
      <c r="M35" s="168">
        <f t="shared" si="5"/>
        <v>107810.76923076923</v>
      </c>
    </row>
    <row r="36" spans="1:13" ht="18">
      <c r="A36" s="166" t="s">
        <v>1428</v>
      </c>
      <c r="B36" s="166"/>
      <c r="C36" s="161">
        <v>2.5</v>
      </c>
      <c r="D36" s="167">
        <f>D35+(D38-D35)*0.5</f>
        <v>2.135</v>
      </c>
      <c r="E36" s="168">
        <f t="shared" si="7"/>
        <v>2241750</v>
      </c>
      <c r="F36" s="168">
        <f t="shared" si="8"/>
        <v>210000</v>
      </c>
      <c r="G36" s="168">
        <f t="shared" si="9"/>
        <v>269010</v>
      </c>
      <c r="H36" s="168">
        <f t="shared" si="10"/>
        <v>89670</v>
      </c>
      <c r="I36" s="168">
        <f t="shared" si="11"/>
        <v>224175</v>
      </c>
      <c r="J36" s="168">
        <f t="shared" si="12"/>
        <v>0</v>
      </c>
      <c r="K36" s="168"/>
      <c r="L36" s="168"/>
      <c r="M36" s="168">
        <f t="shared" si="5"/>
        <v>116715.57692307692</v>
      </c>
    </row>
    <row r="37" spans="1:13" ht="18">
      <c r="A37" s="166" t="s">
        <v>1429</v>
      </c>
      <c r="B37" s="166"/>
      <c r="C37" s="161">
        <v>2.7</v>
      </c>
      <c r="D37" s="167">
        <f>D35+(D38-D35)*0.7</f>
        <v>2.205</v>
      </c>
      <c r="E37" s="168">
        <f t="shared" si="7"/>
        <v>2315250</v>
      </c>
      <c r="F37" s="168">
        <f t="shared" si="8"/>
        <v>210000</v>
      </c>
      <c r="G37" s="168">
        <f t="shared" si="9"/>
        <v>277830</v>
      </c>
      <c r="H37" s="168">
        <f t="shared" si="10"/>
        <v>92610</v>
      </c>
      <c r="I37" s="168">
        <f t="shared" si="11"/>
        <v>231525</v>
      </c>
      <c r="J37" s="168">
        <f t="shared" si="12"/>
        <v>0</v>
      </c>
      <c r="K37" s="168"/>
      <c r="L37" s="168"/>
      <c r="M37" s="168">
        <f t="shared" si="5"/>
        <v>120277.5</v>
      </c>
    </row>
    <row r="38" spans="1:13" ht="18">
      <c r="A38" s="166" t="s">
        <v>1430</v>
      </c>
      <c r="B38" s="166"/>
      <c r="C38" s="161">
        <v>3</v>
      </c>
      <c r="D38" s="167">
        <v>2.31</v>
      </c>
      <c r="E38" s="168">
        <f t="shared" si="7"/>
        <v>2425500</v>
      </c>
      <c r="F38" s="168">
        <f t="shared" si="8"/>
        <v>210000</v>
      </c>
      <c r="G38" s="168">
        <f t="shared" si="9"/>
        <v>291060</v>
      </c>
      <c r="H38" s="168">
        <f t="shared" si="10"/>
        <v>97020</v>
      </c>
      <c r="I38" s="168">
        <f t="shared" si="11"/>
        <v>242550</v>
      </c>
      <c r="J38" s="168">
        <f t="shared" si="12"/>
        <v>0</v>
      </c>
      <c r="K38" s="168"/>
      <c r="L38" s="168"/>
      <c r="M38" s="168">
        <f t="shared" si="5"/>
        <v>125620.38461538461</v>
      </c>
    </row>
    <row r="39" spans="1:13" ht="18">
      <c r="A39" s="166" t="s">
        <v>1431</v>
      </c>
      <c r="B39" s="166"/>
      <c r="C39" s="161">
        <v>3.2</v>
      </c>
      <c r="D39" s="167">
        <f>D38+(D42-D38)*0.2</f>
        <v>2.39</v>
      </c>
      <c r="E39" s="168">
        <f t="shared" si="7"/>
        <v>2509500</v>
      </c>
      <c r="F39" s="168">
        <f t="shared" si="8"/>
        <v>210000</v>
      </c>
      <c r="G39" s="168">
        <f t="shared" si="9"/>
        <v>301140</v>
      </c>
      <c r="H39" s="168">
        <f t="shared" si="10"/>
        <v>100380</v>
      </c>
      <c r="I39" s="168">
        <f t="shared" si="11"/>
        <v>250950</v>
      </c>
      <c r="J39" s="168">
        <f t="shared" si="12"/>
        <v>0</v>
      </c>
      <c r="K39" s="168"/>
      <c r="L39" s="168"/>
      <c r="M39" s="168">
        <f t="shared" si="5"/>
        <v>129691.15384615384</v>
      </c>
    </row>
    <row r="40" spans="1:13" ht="18">
      <c r="A40" s="166" t="s">
        <v>1432</v>
      </c>
      <c r="B40" s="166"/>
      <c r="C40" s="161">
        <v>3.5</v>
      </c>
      <c r="D40" s="167">
        <f>D38+(D42-D38)*0.5</f>
        <v>2.51</v>
      </c>
      <c r="E40" s="168">
        <f t="shared" si="7"/>
        <v>2635500</v>
      </c>
      <c r="F40" s="168">
        <f t="shared" si="8"/>
        <v>210000</v>
      </c>
      <c r="G40" s="168">
        <f t="shared" si="9"/>
        <v>316260</v>
      </c>
      <c r="H40" s="168">
        <f t="shared" si="10"/>
        <v>105420</v>
      </c>
      <c r="I40" s="168">
        <f t="shared" si="11"/>
        <v>263550</v>
      </c>
      <c r="J40" s="168">
        <f t="shared" si="12"/>
        <v>0</v>
      </c>
      <c r="K40" s="168"/>
      <c r="L40" s="168"/>
      <c r="M40" s="168">
        <f t="shared" si="5"/>
        <v>135797.3076923077</v>
      </c>
    </row>
    <row r="41" spans="1:13" ht="18">
      <c r="A41" s="166" t="s">
        <v>1433</v>
      </c>
      <c r="B41" s="166"/>
      <c r="C41" s="161">
        <v>3.7</v>
      </c>
      <c r="D41" s="167">
        <f>D38+(D42-D38)*0.7</f>
        <v>2.59</v>
      </c>
      <c r="E41" s="168">
        <f t="shared" si="7"/>
        <v>2719500</v>
      </c>
      <c r="F41" s="168">
        <f t="shared" si="8"/>
        <v>210000</v>
      </c>
      <c r="G41" s="168">
        <f t="shared" si="9"/>
        <v>326340</v>
      </c>
      <c r="H41" s="168">
        <f t="shared" si="10"/>
        <v>108780</v>
      </c>
      <c r="I41" s="168">
        <f t="shared" si="11"/>
        <v>271950</v>
      </c>
      <c r="J41" s="168">
        <f t="shared" si="12"/>
        <v>0</v>
      </c>
      <c r="K41" s="168"/>
      <c r="L41" s="168"/>
      <c r="M41" s="168">
        <f t="shared" si="5"/>
        <v>139868.07692307694</v>
      </c>
    </row>
    <row r="42" spans="1:13" ht="18">
      <c r="A42" s="166" t="s">
        <v>1434</v>
      </c>
      <c r="B42" s="166"/>
      <c r="C42" s="161">
        <v>4</v>
      </c>
      <c r="D42" s="167">
        <v>2.71</v>
      </c>
      <c r="E42" s="168">
        <f t="shared" si="7"/>
        <v>2845500</v>
      </c>
      <c r="F42" s="168">
        <f t="shared" si="8"/>
        <v>210000</v>
      </c>
      <c r="G42" s="168">
        <f t="shared" si="9"/>
        <v>341460</v>
      </c>
      <c r="H42" s="168">
        <f t="shared" si="10"/>
        <v>113820</v>
      </c>
      <c r="I42" s="168">
        <f t="shared" si="11"/>
        <v>284550</v>
      </c>
      <c r="J42" s="168">
        <f t="shared" si="12"/>
        <v>0</v>
      </c>
      <c r="K42" s="168"/>
      <c r="L42" s="168"/>
      <c r="M42" s="168">
        <f t="shared" si="5"/>
        <v>145974.23076923078</v>
      </c>
    </row>
    <row r="43" spans="1:13" ht="18">
      <c r="A43" s="166" t="s">
        <v>1435</v>
      </c>
      <c r="B43" s="166"/>
      <c r="C43" s="161">
        <v>4.2</v>
      </c>
      <c r="D43" s="167">
        <f>D42+(D46-D42)*0.2</f>
        <v>2.806</v>
      </c>
      <c r="E43" s="168">
        <f t="shared" si="7"/>
        <v>2946300</v>
      </c>
      <c r="F43" s="168">
        <f t="shared" si="8"/>
        <v>210000</v>
      </c>
      <c r="G43" s="168">
        <f t="shared" si="9"/>
        <v>353556</v>
      </c>
      <c r="H43" s="168">
        <f t="shared" si="10"/>
        <v>117852</v>
      </c>
      <c r="I43" s="168">
        <f t="shared" si="11"/>
        <v>294630</v>
      </c>
      <c r="J43" s="168">
        <f t="shared" si="12"/>
        <v>0</v>
      </c>
      <c r="K43" s="168"/>
      <c r="L43" s="168"/>
      <c r="M43" s="168">
        <f t="shared" si="5"/>
        <v>150859.15384615384</v>
      </c>
    </row>
    <row r="44" spans="1:13" ht="18">
      <c r="A44" s="166" t="s">
        <v>1436</v>
      </c>
      <c r="B44" s="166"/>
      <c r="C44" s="161">
        <v>4.5</v>
      </c>
      <c r="D44" s="167">
        <f>D42+(D46-D42)*0.5</f>
        <v>2.95</v>
      </c>
      <c r="E44" s="168">
        <f t="shared" si="7"/>
        <v>3097500</v>
      </c>
      <c r="F44" s="168">
        <f t="shared" si="8"/>
        <v>210000</v>
      </c>
      <c r="G44" s="168">
        <f t="shared" si="9"/>
        <v>371700</v>
      </c>
      <c r="H44" s="168">
        <f t="shared" si="10"/>
        <v>123900</v>
      </c>
      <c r="I44" s="168">
        <f t="shared" si="11"/>
        <v>309750</v>
      </c>
      <c r="J44" s="168">
        <f t="shared" si="12"/>
        <v>0</v>
      </c>
      <c r="K44" s="168"/>
      <c r="L44" s="168"/>
      <c r="M44" s="168">
        <f t="shared" si="5"/>
        <v>158186.53846153847</v>
      </c>
    </row>
    <row r="45" spans="1:13" ht="18">
      <c r="A45" s="166" t="s">
        <v>1437</v>
      </c>
      <c r="B45" s="166"/>
      <c r="C45" s="161">
        <v>4.7</v>
      </c>
      <c r="D45" s="167">
        <f>D42+(D46-D42)*0.7</f>
        <v>3.046</v>
      </c>
      <c r="E45" s="168">
        <f t="shared" si="7"/>
        <v>3198300</v>
      </c>
      <c r="F45" s="168">
        <f t="shared" si="8"/>
        <v>210000</v>
      </c>
      <c r="G45" s="168">
        <f t="shared" si="9"/>
        <v>383796</v>
      </c>
      <c r="H45" s="168">
        <f t="shared" si="10"/>
        <v>127932</v>
      </c>
      <c r="I45" s="168">
        <f t="shared" si="11"/>
        <v>319830</v>
      </c>
      <c r="J45" s="168">
        <f t="shared" si="12"/>
        <v>0</v>
      </c>
      <c r="K45" s="168"/>
      <c r="L45" s="168"/>
      <c r="M45" s="168">
        <f t="shared" si="5"/>
        <v>163071.46153846153</v>
      </c>
    </row>
    <row r="46" spans="1:13" ht="18">
      <c r="A46" s="166" t="s">
        <v>1438</v>
      </c>
      <c r="B46" s="166"/>
      <c r="C46" s="161">
        <v>5</v>
      </c>
      <c r="D46" s="167">
        <v>3.19</v>
      </c>
      <c r="E46" s="168">
        <f t="shared" si="7"/>
        <v>3349500</v>
      </c>
      <c r="F46" s="168">
        <f t="shared" si="8"/>
        <v>210000</v>
      </c>
      <c r="G46" s="168">
        <f t="shared" si="9"/>
        <v>401940</v>
      </c>
      <c r="H46" s="168">
        <f t="shared" si="10"/>
        <v>133980</v>
      </c>
      <c r="I46" s="168">
        <f t="shared" si="11"/>
        <v>334950</v>
      </c>
      <c r="J46" s="168">
        <f t="shared" si="12"/>
        <v>0</v>
      </c>
      <c r="K46" s="168"/>
      <c r="L46" s="168"/>
      <c r="M46" s="168">
        <f t="shared" si="5"/>
        <v>170398.84615384616</v>
      </c>
    </row>
    <row r="47" spans="1:13" ht="18">
      <c r="A47" s="166" t="s">
        <v>1439</v>
      </c>
      <c r="B47" s="166"/>
      <c r="C47" s="161">
        <v>5.2</v>
      </c>
      <c r="D47" s="167">
        <f>D46+(D49-D46)*0.2</f>
        <v>3.3</v>
      </c>
      <c r="E47" s="168">
        <f t="shared" si="7"/>
        <v>3465000</v>
      </c>
      <c r="F47" s="168">
        <f t="shared" si="8"/>
        <v>210000</v>
      </c>
      <c r="G47" s="168">
        <f t="shared" si="9"/>
        <v>415800</v>
      </c>
      <c r="H47" s="168">
        <f t="shared" si="10"/>
        <v>138600</v>
      </c>
      <c r="I47" s="168">
        <f t="shared" si="11"/>
        <v>346500</v>
      </c>
      <c r="J47" s="168">
        <f t="shared" si="12"/>
        <v>0</v>
      </c>
      <c r="K47" s="168"/>
      <c r="L47" s="168"/>
      <c r="M47" s="168">
        <f t="shared" si="5"/>
        <v>175996.15384615384</v>
      </c>
    </row>
    <row r="48" spans="1:13" ht="18">
      <c r="A48" s="166" t="s">
        <v>1440</v>
      </c>
      <c r="B48" s="166"/>
      <c r="C48" s="161">
        <v>5.5</v>
      </c>
      <c r="D48" s="167">
        <f>D46+(D49-D46)*0.5</f>
        <v>3.465</v>
      </c>
      <c r="E48" s="168">
        <f t="shared" si="7"/>
        <v>3638250</v>
      </c>
      <c r="F48" s="168">
        <f t="shared" si="8"/>
        <v>210000</v>
      </c>
      <c r="G48" s="168">
        <f t="shared" si="9"/>
        <v>436590</v>
      </c>
      <c r="H48" s="168">
        <f t="shared" si="10"/>
        <v>145530</v>
      </c>
      <c r="I48" s="168">
        <f t="shared" si="11"/>
        <v>363825</v>
      </c>
      <c r="J48" s="168">
        <f t="shared" si="12"/>
        <v>0</v>
      </c>
      <c r="K48" s="168"/>
      <c r="L48" s="168"/>
      <c r="M48" s="168">
        <f t="shared" si="5"/>
        <v>184392.11538461538</v>
      </c>
    </row>
    <row r="49" spans="1:13" ht="18">
      <c r="A49" s="166" t="s">
        <v>1441</v>
      </c>
      <c r="B49" s="166"/>
      <c r="C49" s="161">
        <v>6</v>
      </c>
      <c r="D49" s="167">
        <v>3.74</v>
      </c>
      <c r="E49" s="168">
        <f t="shared" si="7"/>
        <v>3927000</v>
      </c>
      <c r="F49" s="168">
        <f t="shared" si="8"/>
        <v>210000</v>
      </c>
      <c r="G49" s="168">
        <f t="shared" si="9"/>
        <v>471240</v>
      </c>
      <c r="H49" s="168">
        <f t="shared" si="10"/>
        <v>157080</v>
      </c>
      <c r="I49" s="168">
        <f t="shared" si="11"/>
        <v>392700</v>
      </c>
      <c r="J49" s="168">
        <f t="shared" si="12"/>
        <v>0</v>
      </c>
      <c r="K49" s="168"/>
      <c r="L49" s="168"/>
      <c r="M49" s="168">
        <f t="shared" si="5"/>
        <v>198385.38461538462</v>
      </c>
    </row>
    <row r="50" spans="1:13" ht="18">
      <c r="A50" s="166" t="s">
        <v>570</v>
      </c>
      <c r="B50" s="166"/>
      <c r="C50" s="161">
        <v>7</v>
      </c>
      <c r="D50" s="167">
        <v>4.4</v>
      </c>
      <c r="E50" s="168">
        <f t="shared" si="7"/>
        <v>4620000</v>
      </c>
      <c r="F50" s="168">
        <f t="shared" si="8"/>
        <v>210000</v>
      </c>
      <c r="G50" s="168">
        <f t="shared" si="9"/>
        <v>554400</v>
      </c>
      <c r="H50" s="168">
        <f t="shared" si="10"/>
        <v>184800</v>
      </c>
      <c r="I50" s="168">
        <f t="shared" si="11"/>
        <v>462000</v>
      </c>
      <c r="J50" s="168">
        <f t="shared" si="12"/>
        <v>0</v>
      </c>
      <c r="K50" s="168"/>
      <c r="L50" s="168"/>
      <c r="M50" s="168">
        <f t="shared" si="5"/>
        <v>231969.23076923078</v>
      </c>
    </row>
    <row r="51" spans="1:13" ht="24" customHeight="1">
      <c r="A51" s="160" t="s">
        <v>571</v>
      </c>
      <c r="B51" s="160"/>
      <c r="C51" s="161"/>
      <c r="D51" s="167"/>
      <c r="E51" s="168"/>
      <c r="F51" s="168"/>
      <c r="G51" s="168"/>
      <c r="H51" s="168"/>
      <c r="I51" s="168"/>
      <c r="J51" s="168"/>
      <c r="K51" s="168"/>
      <c r="L51" s="168"/>
      <c r="M51" s="168"/>
    </row>
    <row r="52" spans="1:13" ht="18">
      <c r="A52" s="166" t="s">
        <v>1412</v>
      </c>
      <c r="B52" s="166"/>
      <c r="C52" s="161">
        <v>2</v>
      </c>
      <c r="D52" s="167">
        <v>2.18</v>
      </c>
      <c r="E52" s="168">
        <f aca="true" t="shared" si="13" ref="E52:E68">D52*LTT</f>
        <v>2289000</v>
      </c>
      <c r="F52" s="168">
        <f aca="true" t="shared" si="14" ref="F52:F68">$F$10</f>
        <v>210000</v>
      </c>
      <c r="G52" s="168">
        <f aca="true" t="shared" si="15" ref="G52:G68">E52*luongphu</f>
        <v>274680</v>
      </c>
      <c r="H52" s="168">
        <f aca="true" t="shared" si="16" ref="H52:H68">E52*khoantructiep</f>
        <v>91560</v>
      </c>
      <c r="I52" s="168">
        <f aca="true" t="shared" si="17" ref="I52:I68">E52*KhongOndinhSX</f>
        <v>228900</v>
      </c>
      <c r="J52" s="168">
        <f aca="true" t="shared" si="18" ref="J52:J68">E52*thuhut</f>
        <v>0</v>
      </c>
      <c r="K52" s="168"/>
      <c r="L52" s="168"/>
      <c r="M52" s="168">
        <f t="shared" si="5"/>
        <v>119005.38461538461</v>
      </c>
    </row>
    <row r="53" spans="1:13" ht="18">
      <c r="A53" s="166" t="s">
        <v>1413</v>
      </c>
      <c r="B53" s="166"/>
      <c r="C53" s="161">
        <v>2.5</v>
      </c>
      <c r="D53" s="167">
        <f>D52+(D55-D52)*0.5</f>
        <v>2.37</v>
      </c>
      <c r="E53" s="168">
        <f t="shared" si="13"/>
        <v>2488500</v>
      </c>
      <c r="F53" s="168">
        <f t="shared" si="14"/>
        <v>210000</v>
      </c>
      <c r="G53" s="168">
        <f t="shared" si="15"/>
        <v>298620</v>
      </c>
      <c r="H53" s="168">
        <f t="shared" si="16"/>
        <v>99540</v>
      </c>
      <c r="I53" s="168">
        <f t="shared" si="17"/>
        <v>248850</v>
      </c>
      <c r="J53" s="168">
        <f t="shared" si="18"/>
        <v>0</v>
      </c>
      <c r="K53" s="168"/>
      <c r="L53" s="168"/>
      <c r="M53" s="168">
        <f t="shared" si="5"/>
        <v>128673.46153846153</v>
      </c>
    </row>
    <row r="54" spans="1:13" ht="18">
      <c r="A54" s="166" t="s">
        <v>1414</v>
      </c>
      <c r="B54" s="166"/>
      <c r="C54" s="161">
        <v>2.7</v>
      </c>
      <c r="D54" s="167">
        <f>D52+(D55-D52)*0.7</f>
        <v>2.446</v>
      </c>
      <c r="E54" s="168">
        <f t="shared" si="13"/>
        <v>2568300</v>
      </c>
      <c r="F54" s="168">
        <f t="shared" si="14"/>
        <v>210000</v>
      </c>
      <c r="G54" s="168">
        <f t="shared" si="15"/>
        <v>308196</v>
      </c>
      <c r="H54" s="168">
        <f t="shared" si="16"/>
        <v>102732</v>
      </c>
      <c r="I54" s="168">
        <f t="shared" si="17"/>
        <v>256830</v>
      </c>
      <c r="J54" s="168">
        <f t="shared" si="18"/>
        <v>0</v>
      </c>
      <c r="K54" s="168"/>
      <c r="L54" s="168"/>
      <c r="M54" s="168">
        <f t="shared" si="5"/>
        <v>132540.6923076923</v>
      </c>
    </row>
    <row r="55" spans="1:13" ht="18">
      <c r="A55" s="166" t="s">
        <v>1415</v>
      </c>
      <c r="B55" s="166"/>
      <c r="C55" s="161">
        <v>3</v>
      </c>
      <c r="D55" s="167">
        <v>2.56</v>
      </c>
      <c r="E55" s="168">
        <f t="shared" si="13"/>
        <v>2688000</v>
      </c>
      <c r="F55" s="168">
        <f t="shared" si="14"/>
        <v>210000</v>
      </c>
      <c r="G55" s="168">
        <f t="shared" si="15"/>
        <v>322560</v>
      </c>
      <c r="H55" s="168">
        <f t="shared" si="16"/>
        <v>107520</v>
      </c>
      <c r="I55" s="168">
        <f t="shared" si="17"/>
        <v>268800</v>
      </c>
      <c r="J55" s="168">
        <f t="shared" si="18"/>
        <v>0</v>
      </c>
      <c r="K55" s="168"/>
      <c r="L55" s="168"/>
      <c r="M55" s="168">
        <f t="shared" si="5"/>
        <v>138341.53846153847</v>
      </c>
    </row>
    <row r="56" spans="1:13" ht="18">
      <c r="A56" s="166" t="s">
        <v>1416</v>
      </c>
      <c r="B56" s="166"/>
      <c r="C56" s="161">
        <v>3.2</v>
      </c>
      <c r="D56" s="167">
        <f>D55+(D59-D55)*0.2</f>
        <v>2.65</v>
      </c>
      <c r="E56" s="168">
        <f t="shared" si="13"/>
        <v>2782500</v>
      </c>
      <c r="F56" s="168">
        <f t="shared" si="14"/>
        <v>210000</v>
      </c>
      <c r="G56" s="168">
        <f t="shared" si="15"/>
        <v>333900</v>
      </c>
      <c r="H56" s="168">
        <f t="shared" si="16"/>
        <v>111300</v>
      </c>
      <c r="I56" s="168">
        <f t="shared" si="17"/>
        <v>278250</v>
      </c>
      <c r="J56" s="168">
        <f t="shared" si="18"/>
        <v>0</v>
      </c>
      <c r="K56" s="168"/>
      <c r="L56" s="168"/>
      <c r="M56" s="168">
        <f t="shared" si="5"/>
        <v>142921.15384615384</v>
      </c>
    </row>
    <row r="57" spans="1:13" ht="18">
      <c r="A57" s="166" t="s">
        <v>1417</v>
      </c>
      <c r="B57" s="166" t="s">
        <v>572</v>
      </c>
      <c r="C57" s="161">
        <v>3.5</v>
      </c>
      <c r="D57" s="167">
        <f>D55+(D59-D55)*0.5</f>
        <v>2.785</v>
      </c>
      <c r="E57" s="168">
        <f t="shared" si="13"/>
        <v>2924250</v>
      </c>
      <c r="F57" s="168">
        <f t="shared" si="14"/>
        <v>210000</v>
      </c>
      <c r="G57" s="168">
        <f t="shared" si="15"/>
        <v>350910</v>
      </c>
      <c r="H57" s="168">
        <f t="shared" si="16"/>
        <v>116970</v>
      </c>
      <c r="I57" s="168">
        <f t="shared" si="17"/>
        <v>292425</v>
      </c>
      <c r="J57" s="168">
        <f t="shared" si="18"/>
        <v>0</v>
      </c>
      <c r="K57" s="168"/>
      <c r="L57" s="168"/>
      <c r="M57" s="168">
        <f t="shared" si="5"/>
        <v>149790.57692307694</v>
      </c>
    </row>
    <row r="58" spans="1:13" ht="18">
      <c r="A58" s="166" t="s">
        <v>1418</v>
      </c>
      <c r="B58" s="166"/>
      <c r="C58" s="161">
        <v>3.7</v>
      </c>
      <c r="D58" s="167">
        <f>D55+(D59-D55)*0.7</f>
        <v>2.875</v>
      </c>
      <c r="E58" s="168">
        <f t="shared" si="13"/>
        <v>3018750</v>
      </c>
      <c r="F58" s="168">
        <f t="shared" si="14"/>
        <v>210000</v>
      </c>
      <c r="G58" s="168">
        <f t="shared" si="15"/>
        <v>362250</v>
      </c>
      <c r="H58" s="168">
        <f t="shared" si="16"/>
        <v>120750</v>
      </c>
      <c r="I58" s="168">
        <f t="shared" si="17"/>
        <v>301875</v>
      </c>
      <c r="J58" s="168">
        <f t="shared" si="18"/>
        <v>0</v>
      </c>
      <c r="K58" s="168"/>
      <c r="L58" s="168"/>
      <c r="M58" s="168">
        <f t="shared" si="5"/>
        <v>154370.1923076923</v>
      </c>
    </row>
    <row r="59" spans="1:13" ht="18">
      <c r="A59" s="166" t="s">
        <v>1419</v>
      </c>
      <c r="B59" s="166" t="s">
        <v>573</v>
      </c>
      <c r="C59" s="161">
        <v>4</v>
      </c>
      <c r="D59" s="167">
        <v>3.01</v>
      </c>
      <c r="E59" s="168">
        <f t="shared" si="13"/>
        <v>3160500</v>
      </c>
      <c r="F59" s="168">
        <f t="shared" si="14"/>
        <v>210000</v>
      </c>
      <c r="G59" s="168">
        <f t="shared" si="15"/>
        <v>379260</v>
      </c>
      <c r="H59" s="168">
        <f t="shared" si="16"/>
        <v>126420</v>
      </c>
      <c r="I59" s="168">
        <f t="shared" si="17"/>
        <v>316050</v>
      </c>
      <c r="J59" s="168">
        <f t="shared" si="18"/>
        <v>0</v>
      </c>
      <c r="K59" s="168"/>
      <c r="L59" s="168"/>
      <c r="M59" s="168">
        <f t="shared" si="5"/>
        <v>161239.61538461538</v>
      </c>
    </row>
    <row r="60" spans="1:13" ht="18">
      <c r="A60" s="166" t="s">
        <v>1420</v>
      </c>
      <c r="B60" s="166"/>
      <c r="C60" s="161">
        <v>4.2</v>
      </c>
      <c r="D60" s="167">
        <f>D59+(D64-D59)*0.2</f>
        <v>3.1159999999999997</v>
      </c>
      <c r="E60" s="168">
        <f t="shared" si="13"/>
        <v>3271799.9999999995</v>
      </c>
      <c r="F60" s="168">
        <f t="shared" si="14"/>
        <v>210000</v>
      </c>
      <c r="G60" s="168">
        <f t="shared" si="15"/>
        <v>392615.99999999994</v>
      </c>
      <c r="H60" s="168">
        <f t="shared" si="16"/>
        <v>130871.99999999999</v>
      </c>
      <c r="I60" s="168">
        <f t="shared" si="17"/>
        <v>327180</v>
      </c>
      <c r="J60" s="168">
        <f t="shared" si="18"/>
        <v>0</v>
      </c>
      <c r="K60" s="168"/>
      <c r="L60" s="168"/>
      <c r="M60" s="168">
        <f t="shared" si="5"/>
        <v>166633.38461538462</v>
      </c>
    </row>
    <row r="61" spans="1:13" ht="18">
      <c r="A61" s="166" t="s">
        <v>574</v>
      </c>
      <c r="B61" s="166"/>
      <c r="C61" s="161">
        <v>4.3</v>
      </c>
      <c r="D61" s="167">
        <f>D59+(D64-D59)*0.3</f>
        <v>3.169</v>
      </c>
      <c r="E61" s="168">
        <f t="shared" si="13"/>
        <v>3327450</v>
      </c>
      <c r="F61" s="168">
        <f t="shared" si="14"/>
        <v>210000</v>
      </c>
      <c r="G61" s="168">
        <f t="shared" si="15"/>
        <v>399294</v>
      </c>
      <c r="H61" s="168">
        <f t="shared" si="16"/>
        <v>133098</v>
      </c>
      <c r="I61" s="168">
        <f t="shared" si="17"/>
        <v>332745</v>
      </c>
      <c r="J61" s="168">
        <f t="shared" si="18"/>
        <v>0</v>
      </c>
      <c r="K61" s="168"/>
      <c r="L61" s="168"/>
      <c r="M61" s="168">
        <f t="shared" si="5"/>
        <v>169330.26923076922</v>
      </c>
    </row>
    <row r="62" spans="1:13" ht="18">
      <c r="A62" s="166" t="s">
        <v>1421</v>
      </c>
      <c r="B62" s="166" t="s">
        <v>575</v>
      </c>
      <c r="C62" s="161">
        <v>4.5</v>
      </c>
      <c r="D62" s="167">
        <f>D59+(D64-D59)*0.5</f>
        <v>3.275</v>
      </c>
      <c r="E62" s="168">
        <f t="shared" si="13"/>
        <v>3438750</v>
      </c>
      <c r="F62" s="168">
        <f t="shared" si="14"/>
        <v>210000</v>
      </c>
      <c r="G62" s="168">
        <f t="shared" si="15"/>
        <v>412650</v>
      </c>
      <c r="H62" s="168">
        <f t="shared" si="16"/>
        <v>137550</v>
      </c>
      <c r="I62" s="168">
        <f t="shared" si="17"/>
        <v>343875</v>
      </c>
      <c r="J62" s="168">
        <f t="shared" si="18"/>
        <v>0</v>
      </c>
      <c r="K62" s="168"/>
      <c r="L62" s="168"/>
      <c r="M62" s="168">
        <f t="shared" si="5"/>
        <v>174724.03846153847</v>
      </c>
    </row>
    <row r="63" spans="1:13" ht="18">
      <c r="A63" s="166" t="s">
        <v>1422</v>
      </c>
      <c r="B63" s="166"/>
      <c r="C63" s="161">
        <v>4.7</v>
      </c>
      <c r="D63" s="167">
        <f>D59+(D64-D59)*0.7</f>
        <v>3.381</v>
      </c>
      <c r="E63" s="168">
        <f t="shared" si="13"/>
        <v>3550050</v>
      </c>
      <c r="F63" s="168">
        <f t="shared" si="14"/>
        <v>210000</v>
      </c>
      <c r="G63" s="168">
        <f t="shared" si="15"/>
        <v>426006</v>
      </c>
      <c r="H63" s="168">
        <f t="shared" si="16"/>
        <v>142002</v>
      </c>
      <c r="I63" s="168">
        <f t="shared" si="17"/>
        <v>355005</v>
      </c>
      <c r="J63" s="168">
        <f t="shared" si="18"/>
        <v>0</v>
      </c>
      <c r="K63" s="168"/>
      <c r="L63" s="168"/>
      <c r="M63" s="168">
        <f t="shared" si="5"/>
        <v>180117.8076923077</v>
      </c>
    </row>
    <row r="64" spans="1:13" ht="18">
      <c r="A64" s="166" t="s">
        <v>1423</v>
      </c>
      <c r="B64" s="166" t="s">
        <v>576</v>
      </c>
      <c r="C64" s="161">
        <v>5</v>
      </c>
      <c r="D64" s="167">
        <v>3.54</v>
      </c>
      <c r="E64" s="168">
        <f t="shared" si="13"/>
        <v>3717000</v>
      </c>
      <c r="F64" s="168">
        <f t="shared" si="14"/>
        <v>210000</v>
      </c>
      <c r="G64" s="168">
        <f t="shared" si="15"/>
        <v>446040</v>
      </c>
      <c r="H64" s="168">
        <f t="shared" si="16"/>
        <v>148680</v>
      </c>
      <c r="I64" s="168">
        <f t="shared" si="17"/>
        <v>371700</v>
      </c>
      <c r="J64" s="168">
        <f t="shared" si="18"/>
        <v>0</v>
      </c>
      <c r="K64" s="168"/>
      <c r="L64" s="168"/>
      <c r="M64" s="168">
        <f t="shared" si="5"/>
        <v>188208.46153846153</v>
      </c>
    </row>
    <row r="65" spans="1:13" ht="18">
      <c r="A65" s="166" t="s">
        <v>1424</v>
      </c>
      <c r="B65" s="166"/>
      <c r="C65" s="161">
        <v>5.2</v>
      </c>
      <c r="D65" s="167">
        <f>D64+(D67-D64)*0.2</f>
        <v>3.666</v>
      </c>
      <c r="E65" s="168">
        <f t="shared" si="13"/>
        <v>3849300</v>
      </c>
      <c r="F65" s="168">
        <f t="shared" si="14"/>
        <v>210000</v>
      </c>
      <c r="G65" s="168">
        <f t="shared" si="15"/>
        <v>461916</v>
      </c>
      <c r="H65" s="168">
        <f t="shared" si="16"/>
        <v>153972</v>
      </c>
      <c r="I65" s="168">
        <f t="shared" si="17"/>
        <v>384930</v>
      </c>
      <c r="J65" s="168">
        <f t="shared" si="18"/>
        <v>0</v>
      </c>
      <c r="K65" s="168"/>
      <c r="L65" s="168"/>
      <c r="M65" s="168">
        <f t="shared" si="5"/>
        <v>194619.92307692306</v>
      </c>
    </row>
    <row r="66" spans="1:13" ht="18">
      <c r="A66" s="166" t="s">
        <v>1425</v>
      </c>
      <c r="B66" s="166"/>
      <c r="C66" s="161">
        <v>5.5</v>
      </c>
      <c r="D66" s="167">
        <f>D64+(D67-D64)*0.5</f>
        <v>3.855</v>
      </c>
      <c r="E66" s="168">
        <f t="shared" si="13"/>
        <v>4047750</v>
      </c>
      <c r="F66" s="168">
        <f t="shared" si="14"/>
        <v>210000</v>
      </c>
      <c r="G66" s="168">
        <f t="shared" si="15"/>
        <v>485730</v>
      </c>
      <c r="H66" s="168">
        <f t="shared" si="16"/>
        <v>161910</v>
      </c>
      <c r="I66" s="168">
        <f t="shared" si="17"/>
        <v>404775</v>
      </c>
      <c r="J66" s="168">
        <f t="shared" si="18"/>
        <v>0</v>
      </c>
      <c r="K66" s="168"/>
      <c r="L66" s="168"/>
      <c r="M66" s="168">
        <f t="shared" si="5"/>
        <v>204237.11538461538</v>
      </c>
    </row>
    <row r="67" spans="1:13" ht="18">
      <c r="A67" s="166" t="s">
        <v>1426</v>
      </c>
      <c r="B67" s="166"/>
      <c r="C67" s="161">
        <v>6</v>
      </c>
      <c r="D67" s="167">
        <v>4.17</v>
      </c>
      <c r="E67" s="168">
        <f t="shared" si="13"/>
        <v>4378500</v>
      </c>
      <c r="F67" s="168">
        <f t="shared" si="14"/>
        <v>210000</v>
      </c>
      <c r="G67" s="168">
        <f t="shared" si="15"/>
        <v>525420</v>
      </c>
      <c r="H67" s="168">
        <f t="shared" si="16"/>
        <v>175140</v>
      </c>
      <c r="I67" s="168">
        <f t="shared" si="17"/>
        <v>437850</v>
      </c>
      <c r="J67" s="168">
        <f t="shared" si="18"/>
        <v>0</v>
      </c>
      <c r="K67" s="168"/>
      <c r="L67" s="168"/>
      <c r="M67" s="168">
        <f t="shared" si="5"/>
        <v>220265.76923076922</v>
      </c>
    </row>
    <row r="68" spans="1:13" ht="18">
      <c r="A68" s="166" t="s">
        <v>577</v>
      </c>
      <c r="B68" s="166"/>
      <c r="C68" s="161">
        <v>7</v>
      </c>
      <c r="D68" s="167">
        <v>4.9</v>
      </c>
      <c r="E68" s="168">
        <f t="shared" si="13"/>
        <v>5145000</v>
      </c>
      <c r="F68" s="168">
        <f t="shared" si="14"/>
        <v>210000</v>
      </c>
      <c r="G68" s="168">
        <f t="shared" si="15"/>
        <v>617400</v>
      </c>
      <c r="H68" s="168">
        <f t="shared" si="16"/>
        <v>205800</v>
      </c>
      <c r="I68" s="168">
        <f t="shared" si="17"/>
        <v>514500</v>
      </c>
      <c r="J68" s="168">
        <f t="shared" si="18"/>
        <v>0</v>
      </c>
      <c r="K68" s="168"/>
      <c r="L68" s="168"/>
      <c r="M68" s="168">
        <f>SUM(E68:L68)/26</f>
        <v>257411.53846153847</v>
      </c>
    </row>
    <row r="69" spans="1:13" ht="18">
      <c r="A69" s="169" t="s">
        <v>578</v>
      </c>
      <c r="B69" s="169"/>
      <c r="C69" s="170"/>
      <c r="D69" s="170"/>
      <c r="E69" s="171"/>
      <c r="F69" s="171"/>
      <c r="G69" s="171"/>
      <c r="H69" s="172"/>
      <c r="I69" s="172"/>
      <c r="J69" s="172"/>
      <c r="K69" s="172"/>
      <c r="L69" s="172"/>
      <c r="M69" s="172"/>
    </row>
    <row r="70" spans="1:13" ht="18">
      <c r="A70" s="173" t="s">
        <v>2702</v>
      </c>
      <c r="B70" s="173"/>
      <c r="C70" s="161"/>
      <c r="D70" s="174"/>
      <c r="E70" s="175"/>
      <c r="F70" s="176"/>
      <c r="G70" s="176"/>
      <c r="H70" s="176"/>
      <c r="I70" s="176"/>
      <c r="J70" s="176"/>
      <c r="K70" s="176"/>
      <c r="L70" s="176"/>
      <c r="M70" s="175"/>
    </row>
    <row r="71" spans="1:13" ht="18">
      <c r="A71" s="177"/>
      <c r="B71" s="177"/>
      <c r="C71" s="178" t="s">
        <v>1272</v>
      </c>
      <c r="D71" s="179">
        <v>2.99</v>
      </c>
      <c r="E71" s="180">
        <f>D71*LTT</f>
        <v>3139500</v>
      </c>
      <c r="F71" s="180">
        <f>F65</f>
        <v>210000</v>
      </c>
      <c r="G71" s="168">
        <f>E71*luongphu</f>
        <v>376740</v>
      </c>
      <c r="H71" s="168">
        <f>E71*khoantructiep</f>
        <v>125580</v>
      </c>
      <c r="I71" s="168">
        <f>E71*KhongOndinhSX</f>
        <v>313950</v>
      </c>
      <c r="J71" s="168">
        <f>E71*thuhut</f>
        <v>0</v>
      </c>
      <c r="K71" s="168"/>
      <c r="L71" s="168"/>
      <c r="M71" s="168">
        <f>SUM(E71:L71)/26</f>
        <v>160221.92307692306</v>
      </c>
    </row>
    <row r="72" spans="1:13" ht="18">
      <c r="A72" s="177"/>
      <c r="B72" s="177"/>
      <c r="C72" s="178" t="s">
        <v>1274</v>
      </c>
      <c r="D72" s="179">
        <v>3.28</v>
      </c>
      <c r="E72" s="180">
        <f>D72*LTT</f>
        <v>3444000</v>
      </c>
      <c r="F72" s="180">
        <f>F66</f>
        <v>210000</v>
      </c>
      <c r="G72" s="168">
        <f>E72*luongphu</f>
        <v>413280</v>
      </c>
      <c r="H72" s="168">
        <f>E72*khoantructiep</f>
        <v>137760</v>
      </c>
      <c r="I72" s="168">
        <f>E72*KhongOndinhSX</f>
        <v>344400</v>
      </c>
      <c r="J72" s="168">
        <f>E72*thuhut</f>
        <v>0</v>
      </c>
      <c r="K72" s="168"/>
      <c r="L72" s="168"/>
      <c r="M72" s="168">
        <f aca="true" t="shared" si="19" ref="M72:M110">SUM(E72:L72)/26</f>
        <v>174978.46153846153</v>
      </c>
    </row>
    <row r="73" spans="1:13" ht="18">
      <c r="A73" s="177"/>
      <c r="B73" s="177"/>
      <c r="C73" s="178" t="s">
        <v>1275</v>
      </c>
      <c r="D73" s="179">
        <v>3.72</v>
      </c>
      <c r="E73" s="180">
        <f>D73*LTT</f>
        <v>3906000</v>
      </c>
      <c r="F73" s="180">
        <f>F67</f>
        <v>210000</v>
      </c>
      <c r="G73" s="168">
        <f>E73*luongphu</f>
        <v>468720</v>
      </c>
      <c r="H73" s="168">
        <f>E73*khoantructiep</f>
        <v>156240</v>
      </c>
      <c r="I73" s="168">
        <f>E73*KhongOndinhSX</f>
        <v>390600</v>
      </c>
      <c r="J73" s="168">
        <f>E73*thuhut</f>
        <v>0</v>
      </c>
      <c r="K73" s="168"/>
      <c r="L73" s="168"/>
      <c r="M73" s="168">
        <f t="shared" si="19"/>
        <v>197367.6923076923</v>
      </c>
    </row>
    <row r="74" spans="1:13" ht="18">
      <c r="A74" s="177"/>
      <c r="B74" s="177"/>
      <c r="C74" s="178" t="s">
        <v>1276</v>
      </c>
      <c r="D74" s="179">
        <v>4.15</v>
      </c>
      <c r="E74" s="180">
        <f>D74*LTT</f>
        <v>4357500</v>
      </c>
      <c r="F74" s="180">
        <f>F68</f>
        <v>210000</v>
      </c>
      <c r="G74" s="168">
        <f>E74*luongphu</f>
        <v>522900</v>
      </c>
      <c r="H74" s="168">
        <f>E74*khoantructiep</f>
        <v>174300</v>
      </c>
      <c r="I74" s="168">
        <f>E74*KhongOndinhSX</f>
        <v>435750</v>
      </c>
      <c r="J74" s="168">
        <f>E74*thuhut</f>
        <v>0</v>
      </c>
      <c r="K74" s="168"/>
      <c r="L74" s="168"/>
      <c r="M74" s="168">
        <f t="shared" si="19"/>
        <v>219248.07692307694</v>
      </c>
    </row>
    <row r="75" spans="1:13" ht="18">
      <c r="A75" s="173" t="s">
        <v>2703</v>
      </c>
      <c r="B75" s="173"/>
      <c r="C75" s="161"/>
      <c r="D75" s="170"/>
      <c r="E75" s="172"/>
      <c r="F75" s="180"/>
      <c r="G75" s="172"/>
      <c r="H75" s="172"/>
      <c r="I75" s="172"/>
      <c r="J75" s="172"/>
      <c r="K75" s="172"/>
      <c r="L75" s="172"/>
      <c r="M75" s="168"/>
    </row>
    <row r="76" spans="1:13" ht="18">
      <c r="A76" s="181" t="s">
        <v>1267</v>
      </c>
      <c r="B76" s="181"/>
      <c r="C76" s="178" t="s">
        <v>1272</v>
      </c>
      <c r="D76" s="179">
        <v>4.67</v>
      </c>
      <c r="E76" s="180">
        <f>D76*LTT</f>
        <v>4903500</v>
      </c>
      <c r="F76" s="180">
        <f>F73</f>
        <v>210000</v>
      </c>
      <c r="G76" s="168">
        <f>E76*luongphu</f>
        <v>588420</v>
      </c>
      <c r="H76" s="168">
        <f>E76*khoantructiep</f>
        <v>196140</v>
      </c>
      <c r="I76" s="168">
        <f>E76*KhongOndinhSX</f>
        <v>490350</v>
      </c>
      <c r="J76" s="168">
        <f>E76*thuhut</f>
        <v>0</v>
      </c>
      <c r="K76" s="168"/>
      <c r="L76" s="168"/>
      <c r="M76" s="168">
        <f t="shared" si="19"/>
        <v>245708.07692307694</v>
      </c>
    </row>
    <row r="77" spans="1:13" ht="18">
      <c r="A77" s="181" t="s">
        <v>2701</v>
      </c>
      <c r="B77" s="181"/>
      <c r="C77" s="178" t="s">
        <v>1274</v>
      </c>
      <c r="D77" s="179">
        <v>5.27</v>
      </c>
      <c r="E77" s="180">
        <f>D77*LTT</f>
        <v>5533500</v>
      </c>
      <c r="F77" s="180">
        <f>F74</f>
        <v>210000</v>
      </c>
      <c r="G77" s="168">
        <f>E77*luongphu</f>
        <v>664020</v>
      </c>
      <c r="H77" s="168">
        <f>E77*khoantructiep</f>
        <v>221340</v>
      </c>
      <c r="I77" s="168">
        <f>E77*KhongOndinhSX</f>
        <v>553350</v>
      </c>
      <c r="J77" s="168">
        <f>E77*thuhut</f>
        <v>0</v>
      </c>
      <c r="K77" s="168"/>
      <c r="L77" s="168"/>
      <c r="M77" s="168">
        <f t="shared" si="19"/>
        <v>276238.8461538461</v>
      </c>
    </row>
    <row r="78" spans="1:13" ht="18">
      <c r="A78" s="173" t="s">
        <v>2704</v>
      </c>
      <c r="B78" s="173"/>
      <c r="C78" s="161"/>
      <c r="D78" s="170"/>
      <c r="E78" s="172"/>
      <c r="F78" s="180"/>
      <c r="G78" s="172"/>
      <c r="H78" s="172"/>
      <c r="I78" s="172"/>
      <c r="J78" s="172"/>
      <c r="K78" s="172"/>
      <c r="L78" s="172"/>
      <c r="M78" s="168"/>
    </row>
    <row r="79" spans="1:13" ht="18">
      <c r="A79" s="181" t="s">
        <v>1267</v>
      </c>
      <c r="B79" s="181"/>
      <c r="C79" s="225" t="s">
        <v>1272</v>
      </c>
      <c r="D79" s="179">
        <v>5.75</v>
      </c>
      <c r="E79" s="180">
        <f>D79*LTT</f>
        <v>6037500</v>
      </c>
      <c r="F79" s="180">
        <f>F76</f>
        <v>210000</v>
      </c>
      <c r="G79" s="168">
        <f>E79*luongphu</f>
        <v>724500</v>
      </c>
      <c r="H79" s="168">
        <f>E79*khoantructiep</f>
        <v>241500</v>
      </c>
      <c r="I79" s="168">
        <f>E79*KhongOndinhSX</f>
        <v>603750</v>
      </c>
      <c r="J79" s="168">
        <f>E79*thuhut</f>
        <v>0</v>
      </c>
      <c r="K79" s="168"/>
      <c r="L79" s="168"/>
      <c r="M79" s="168">
        <f t="shared" si="19"/>
        <v>300663.46153846156</v>
      </c>
    </row>
    <row r="80" spans="1:13" ht="18">
      <c r="A80" s="169" t="s">
        <v>579</v>
      </c>
      <c r="B80" s="169"/>
      <c r="C80" s="170"/>
      <c r="D80" s="170"/>
      <c r="E80" s="171"/>
      <c r="F80" s="171"/>
      <c r="G80" s="171"/>
      <c r="H80" s="172"/>
      <c r="I80" s="172"/>
      <c r="J80" s="172"/>
      <c r="K80" s="172"/>
      <c r="L80" s="172"/>
      <c r="M80" s="168"/>
    </row>
    <row r="81" spans="1:13" ht="18">
      <c r="A81" s="173" t="s">
        <v>580</v>
      </c>
      <c r="B81" s="173"/>
      <c r="C81" s="161"/>
      <c r="D81" s="182"/>
      <c r="E81" s="172"/>
      <c r="F81" s="172"/>
      <c r="G81" s="172"/>
      <c r="H81" s="172"/>
      <c r="I81" s="172"/>
      <c r="J81" s="172"/>
      <c r="K81" s="172"/>
      <c r="L81" s="172"/>
      <c r="M81" s="168"/>
    </row>
    <row r="82" spans="1:13" ht="18">
      <c r="A82" s="183"/>
      <c r="B82" s="183"/>
      <c r="C82" s="178" t="s">
        <v>1272</v>
      </c>
      <c r="D82" s="179">
        <v>2.18</v>
      </c>
      <c r="E82" s="180">
        <f>D82*LTT</f>
        <v>2289000</v>
      </c>
      <c r="F82" s="180">
        <f>$F$10</f>
        <v>210000</v>
      </c>
      <c r="G82" s="168">
        <f>E82*luongphu</f>
        <v>274680</v>
      </c>
      <c r="H82" s="168">
        <f>E82*khoantructiep</f>
        <v>91560</v>
      </c>
      <c r="I82" s="168">
        <f>E82*KhongOndinhSX</f>
        <v>228900</v>
      </c>
      <c r="J82" s="168">
        <f>E82*thuhut</f>
        <v>0</v>
      </c>
      <c r="K82" s="168"/>
      <c r="L82" s="168"/>
      <c r="M82" s="168">
        <f t="shared" si="19"/>
        <v>119005.38461538461</v>
      </c>
    </row>
    <row r="83" spans="1:13" ht="18">
      <c r="A83" s="183"/>
      <c r="B83" s="183"/>
      <c r="C83" s="178" t="s">
        <v>1274</v>
      </c>
      <c r="D83" s="179">
        <v>2.57</v>
      </c>
      <c r="E83" s="180">
        <f>D83*LTT</f>
        <v>2698500</v>
      </c>
      <c r="F83" s="180">
        <f>$F$10</f>
        <v>210000</v>
      </c>
      <c r="G83" s="168">
        <f>E83*luongphu</f>
        <v>323820</v>
      </c>
      <c r="H83" s="168">
        <f>E83*khoantructiep</f>
        <v>107940</v>
      </c>
      <c r="I83" s="168">
        <f>E83*KhongOndinhSX</f>
        <v>269850</v>
      </c>
      <c r="J83" s="168">
        <f>E83*thuhut</f>
        <v>0</v>
      </c>
      <c r="K83" s="168"/>
      <c r="L83" s="168"/>
      <c r="M83" s="168">
        <f t="shared" si="19"/>
        <v>138850.38461538462</v>
      </c>
    </row>
    <row r="84" spans="1:13" ht="18">
      <c r="A84" s="183"/>
      <c r="B84" s="183"/>
      <c r="C84" s="178" t="s">
        <v>1275</v>
      </c>
      <c r="D84" s="179">
        <v>3.05</v>
      </c>
      <c r="E84" s="180">
        <f>D84*LTT</f>
        <v>3202500</v>
      </c>
      <c r="F84" s="180">
        <f>$F$10</f>
        <v>210000</v>
      </c>
      <c r="G84" s="168">
        <f>E84*luongphu</f>
        <v>384300</v>
      </c>
      <c r="H84" s="168">
        <f>E84*khoantructiep</f>
        <v>128100</v>
      </c>
      <c r="I84" s="168">
        <f>E84*KhongOndinhSX</f>
        <v>320250</v>
      </c>
      <c r="J84" s="168">
        <f>E84*thuhut</f>
        <v>0</v>
      </c>
      <c r="K84" s="168"/>
      <c r="L84" s="168"/>
      <c r="M84" s="168">
        <f t="shared" si="19"/>
        <v>163275</v>
      </c>
    </row>
    <row r="85" spans="1:13" ht="18">
      <c r="A85" s="183"/>
      <c r="B85" s="183"/>
      <c r="C85" s="178" t="s">
        <v>1276</v>
      </c>
      <c r="D85" s="179">
        <v>3.6</v>
      </c>
      <c r="E85" s="180">
        <f>D85*LTT</f>
        <v>3780000</v>
      </c>
      <c r="F85" s="180">
        <f>$F$10</f>
        <v>210000</v>
      </c>
      <c r="G85" s="168">
        <f>E85*luongphu</f>
        <v>453600</v>
      </c>
      <c r="H85" s="168">
        <f>E85*khoantructiep</f>
        <v>151200</v>
      </c>
      <c r="I85" s="168">
        <f>E85*KhongOndinhSX</f>
        <v>378000</v>
      </c>
      <c r="J85" s="168">
        <f>E85*thuhut</f>
        <v>0</v>
      </c>
      <c r="K85" s="168"/>
      <c r="L85" s="168"/>
      <c r="M85" s="168">
        <f t="shared" si="19"/>
        <v>191261.53846153847</v>
      </c>
    </row>
    <row r="86" spans="1:13" ht="18">
      <c r="A86" s="173" t="s">
        <v>581</v>
      </c>
      <c r="B86" s="173"/>
      <c r="C86" s="161"/>
      <c r="D86" s="170"/>
      <c r="E86" s="172"/>
      <c r="F86" s="172"/>
      <c r="G86" s="172"/>
      <c r="H86" s="172"/>
      <c r="I86" s="172"/>
      <c r="J86" s="172"/>
      <c r="K86" s="172"/>
      <c r="L86" s="172"/>
      <c r="M86" s="168"/>
    </row>
    <row r="87" spans="1:13" ht="18">
      <c r="A87" s="183"/>
      <c r="B87" s="183"/>
      <c r="C87" s="178" t="s">
        <v>1272</v>
      </c>
      <c r="D87" s="179">
        <v>2.35</v>
      </c>
      <c r="E87" s="180">
        <f>D87*LTT</f>
        <v>2467500</v>
      </c>
      <c r="F87" s="180">
        <f>$F$10</f>
        <v>210000</v>
      </c>
      <c r="G87" s="168">
        <f>E87*luongphu</f>
        <v>296100</v>
      </c>
      <c r="H87" s="168">
        <f>E87*khoantructiep</f>
        <v>98700</v>
      </c>
      <c r="I87" s="168">
        <f>E87*KhongOndinhSX</f>
        <v>246750</v>
      </c>
      <c r="J87" s="168">
        <f>E87*thuhut</f>
        <v>0</v>
      </c>
      <c r="K87" s="168"/>
      <c r="L87" s="168"/>
      <c r="M87" s="168">
        <f t="shared" si="19"/>
        <v>127655.76923076923</v>
      </c>
    </row>
    <row r="88" spans="1:13" ht="18">
      <c r="A88" s="183"/>
      <c r="B88" s="183"/>
      <c r="C88" s="178" t="s">
        <v>1274</v>
      </c>
      <c r="D88" s="179">
        <v>2.76</v>
      </c>
      <c r="E88" s="180">
        <f>D88*LTT</f>
        <v>2898000</v>
      </c>
      <c r="F88" s="180">
        <f>$F$10</f>
        <v>210000</v>
      </c>
      <c r="G88" s="168">
        <f>E88*luongphu</f>
        <v>347760</v>
      </c>
      <c r="H88" s="168">
        <f>E88*khoantructiep</f>
        <v>115920</v>
      </c>
      <c r="I88" s="168">
        <f>E88*KhongOndinhSX</f>
        <v>289800</v>
      </c>
      <c r="J88" s="168">
        <f>E88*thuhut</f>
        <v>0</v>
      </c>
      <c r="K88" s="168"/>
      <c r="L88" s="168"/>
      <c r="M88" s="168">
        <f t="shared" si="19"/>
        <v>148518.46153846153</v>
      </c>
    </row>
    <row r="89" spans="1:13" ht="18">
      <c r="A89" s="183"/>
      <c r="B89" s="183"/>
      <c r="C89" s="178" t="s">
        <v>1275</v>
      </c>
      <c r="D89" s="179">
        <v>3.25</v>
      </c>
      <c r="E89" s="180">
        <f>D89*LTT</f>
        <v>3412500</v>
      </c>
      <c r="F89" s="180">
        <f>$F$10</f>
        <v>210000</v>
      </c>
      <c r="G89" s="168">
        <f>E89*luongphu</f>
        <v>409500</v>
      </c>
      <c r="H89" s="168">
        <f>E89*khoantructiep</f>
        <v>136500</v>
      </c>
      <c r="I89" s="168">
        <f>E89*KhongOndinhSX</f>
        <v>341250</v>
      </c>
      <c r="J89" s="168">
        <f>E89*thuhut</f>
        <v>0</v>
      </c>
      <c r="K89" s="168"/>
      <c r="L89" s="168"/>
      <c r="M89" s="168">
        <f t="shared" si="19"/>
        <v>173451.92307692306</v>
      </c>
    </row>
    <row r="90" spans="1:13" ht="18">
      <c r="A90" s="183"/>
      <c r="B90" s="183"/>
      <c r="C90" s="178" t="s">
        <v>1276</v>
      </c>
      <c r="D90" s="179">
        <v>3.82</v>
      </c>
      <c r="E90" s="180">
        <f>D90*LTT</f>
        <v>4011000</v>
      </c>
      <c r="F90" s="180">
        <f>$F$10</f>
        <v>210000</v>
      </c>
      <c r="G90" s="168">
        <f>E90*luongphu</f>
        <v>481320</v>
      </c>
      <c r="H90" s="168">
        <f>E90*khoantructiep</f>
        <v>160440</v>
      </c>
      <c r="I90" s="168">
        <f>E90*KhongOndinhSX</f>
        <v>401100</v>
      </c>
      <c r="J90" s="168">
        <f>E90*thuhut</f>
        <v>0</v>
      </c>
      <c r="K90" s="168"/>
      <c r="L90" s="168"/>
      <c r="M90" s="168">
        <f t="shared" si="19"/>
        <v>202456.15384615384</v>
      </c>
    </row>
    <row r="91" spans="1:13" ht="18">
      <c r="A91" s="173" t="s">
        <v>582</v>
      </c>
      <c r="B91" s="173"/>
      <c r="C91" s="161"/>
      <c r="D91" s="170"/>
      <c r="E91" s="172"/>
      <c r="F91" s="172"/>
      <c r="G91" s="172"/>
      <c r="H91" s="172"/>
      <c r="I91" s="172"/>
      <c r="J91" s="172"/>
      <c r="K91" s="172"/>
      <c r="L91" s="172"/>
      <c r="M91" s="172"/>
    </row>
    <row r="92" spans="1:13" ht="18">
      <c r="A92" s="183"/>
      <c r="B92" s="183"/>
      <c r="C92" s="178" t="s">
        <v>1272</v>
      </c>
      <c r="D92" s="179">
        <v>2.51</v>
      </c>
      <c r="E92" s="180">
        <f>D92*LTT</f>
        <v>2635500</v>
      </c>
      <c r="F92" s="180">
        <f>$F$10</f>
        <v>210000</v>
      </c>
      <c r="G92" s="168">
        <f>E92*luongphu</f>
        <v>316260</v>
      </c>
      <c r="H92" s="168">
        <f>E92*khoantructiep</f>
        <v>105420</v>
      </c>
      <c r="I92" s="168">
        <f>E92*KhongOndinhSX</f>
        <v>263550</v>
      </c>
      <c r="J92" s="168">
        <f>E92*thuhut</f>
        <v>0</v>
      </c>
      <c r="K92" s="168"/>
      <c r="L92" s="168"/>
      <c r="M92" s="168">
        <f t="shared" si="19"/>
        <v>135797.3076923077</v>
      </c>
    </row>
    <row r="93" spans="1:13" ht="18">
      <c r="A93" s="183"/>
      <c r="B93" s="183"/>
      <c r="C93" s="178" t="s">
        <v>1274</v>
      </c>
      <c r="D93" s="179">
        <v>2.94</v>
      </c>
      <c r="E93" s="180">
        <f>D93*LTT</f>
        <v>3087000</v>
      </c>
      <c r="F93" s="180">
        <f>$F$10</f>
        <v>210000</v>
      </c>
      <c r="G93" s="168">
        <f>E93*luongphu</f>
        <v>370440</v>
      </c>
      <c r="H93" s="168">
        <f>E93*khoantructiep</f>
        <v>123480</v>
      </c>
      <c r="I93" s="168">
        <f>E93*KhongOndinhSX</f>
        <v>308700</v>
      </c>
      <c r="J93" s="168">
        <f>E93*thuhut</f>
        <v>0</v>
      </c>
      <c r="K93" s="168"/>
      <c r="L93" s="168"/>
      <c r="M93" s="168">
        <f t="shared" si="19"/>
        <v>157677.6923076923</v>
      </c>
    </row>
    <row r="94" spans="1:13" ht="18">
      <c r="A94" s="183"/>
      <c r="B94" s="183"/>
      <c r="C94" s="178" t="s">
        <v>1275</v>
      </c>
      <c r="D94" s="179">
        <v>3.44</v>
      </c>
      <c r="E94" s="180">
        <f>D94*LTT</f>
        <v>3612000</v>
      </c>
      <c r="F94" s="180">
        <f>$F$10</f>
        <v>210000</v>
      </c>
      <c r="G94" s="168">
        <f>E94*luongphu</f>
        <v>433440</v>
      </c>
      <c r="H94" s="168">
        <f>E94*khoantructiep</f>
        <v>144480</v>
      </c>
      <c r="I94" s="168">
        <f>E94*KhongOndinhSX</f>
        <v>361200</v>
      </c>
      <c r="J94" s="168">
        <f>E94*thuhut</f>
        <v>0</v>
      </c>
      <c r="K94" s="168"/>
      <c r="L94" s="168"/>
      <c r="M94" s="168">
        <f t="shared" si="19"/>
        <v>183120</v>
      </c>
    </row>
    <row r="95" spans="1:13" ht="18">
      <c r="A95" s="183"/>
      <c r="B95" s="183"/>
      <c r="C95" s="178" t="s">
        <v>1276</v>
      </c>
      <c r="D95" s="178">
        <v>4.05</v>
      </c>
      <c r="E95" s="180">
        <f>D95*LTT</f>
        <v>4252500</v>
      </c>
      <c r="F95" s="180">
        <f>$F$10</f>
        <v>210000</v>
      </c>
      <c r="G95" s="168">
        <f>E95*luongphu</f>
        <v>510300</v>
      </c>
      <c r="H95" s="168">
        <f>E95*khoantructiep</f>
        <v>170100</v>
      </c>
      <c r="I95" s="168">
        <f>E95*KhongOndinhSX</f>
        <v>425250</v>
      </c>
      <c r="J95" s="168">
        <f>E95*thuhut</f>
        <v>0</v>
      </c>
      <c r="K95" s="168"/>
      <c r="L95" s="168"/>
      <c r="M95" s="168">
        <f t="shared" si="19"/>
        <v>214159.61538461538</v>
      </c>
    </row>
    <row r="96" spans="1:13" ht="18">
      <c r="A96" s="173" t="s">
        <v>583</v>
      </c>
      <c r="B96" s="173"/>
      <c r="C96" s="161"/>
      <c r="D96" s="170"/>
      <c r="E96" s="172"/>
      <c r="F96" s="172"/>
      <c r="G96" s="172"/>
      <c r="H96" s="172"/>
      <c r="I96" s="172"/>
      <c r="J96" s="172"/>
      <c r="K96" s="172"/>
      <c r="L96" s="172"/>
      <c r="M96" s="172"/>
    </row>
    <row r="97" spans="1:13" ht="18">
      <c r="A97" s="183"/>
      <c r="B97" s="183"/>
      <c r="C97" s="178" t="s">
        <v>1272</v>
      </c>
      <c r="D97" s="179">
        <v>2.66</v>
      </c>
      <c r="E97" s="180">
        <f>D97*LTT</f>
        <v>2793000</v>
      </c>
      <c r="F97" s="180">
        <f>$F$10</f>
        <v>210000</v>
      </c>
      <c r="G97" s="168">
        <f>E97*luongphu</f>
        <v>335160</v>
      </c>
      <c r="H97" s="168">
        <f>E97*khoantructiep</f>
        <v>111720</v>
      </c>
      <c r="I97" s="168">
        <f>E97*KhongOndinhSX</f>
        <v>279300</v>
      </c>
      <c r="J97" s="168">
        <f>E97*thuhut</f>
        <v>0</v>
      </c>
      <c r="K97" s="168"/>
      <c r="L97" s="168"/>
      <c r="M97" s="168">
        <f t="shared" si="19"/>
        <v>143430</v>
      </c>
    </row>
    <row r="98" spans="1:13" ht="18">
      <c r="A98" s="183"/>
      <c r="B98" s="183"/>
      <c r="C98" s="178" t="s">
        <v>1274</v>
      </c>
      <c r="D98" s="179">
        <v>3.11</v>
      </c>
      <c r="E98" s="180">
        <f>D98*LTT</f>
        <v>3265500</v>
      </c>
      <c r="F98" s="180">
        <f>$F$10</f>
        <v>210000</v>
      </c>
      <c r="G98" s="168">
        <f>E98*luongphu</f>
        <v>391860</v>
      </c>
      <c r="H98" s="168">
        <f>E98*khoantructiep</f>
        <v>130620</v>
      </c>
      <c r="I98" s="168">
        <f>E98*KhongOndinhSX</f>
        <v>326550</v>
      </c>
      <c r="J98" s="168">
        <f>E98*thuhut</f>
        <v>0</v>
      </c>
      <c r="K98" s="168"/>
      <c r="L98" s="168"/>
      <c r="M98" s="168">
        <f t="shared" si="19"/>
        <v>166328.07692307694</v>
      </c>
    </row>
    <row r="99" spans="1:13" ht="18">
      <c r="A99" s="183"/>
      <c r="B99" s="183"/>
      <c r="C99" s="178" t="s">
        <v>1275</v>
      </c>
      <c r="D99" s="179">
        <v>3.64</v>
      </c>
      <c r="E99" s="180">
        <f>D99*LTT</f>
        <v>3822000</v>
      </c>
      <c r="F99" s="180">
        <f>$F$10</f>
        <v>210000</v>
      </c>
      <c r="G99" s="168">
        <f>E99*luongphu</f>
        <v>458640</v>
      </c>
      <c r="H99" s="168">
        <f>E99*khoantructiep</f>
        <v>152880</v>
      </c>
      <c r="I99" s="168">
        <f>E99*KhongOndinhSX</f>
        <v>382200</v>
      </c>
      <c r="J99" s="168">
        <f>E99*thuhut</f>
        <v>0</v>
      </c>
      <c r="K99" s="168"/>
      <c r="L99" s="168"/>
      <c r="M99" s="168">
        <f t="shared" si="19"/>
        <v>193296.92307692306</v>
      </c>
    </row>
    <row r="100" spans="1:13" ht="18">
      <c r="A100" s="183"/>
      <c r="B100" s="183"/>
      <c r="C100" s="178" t="s">
        <v>1276</v>
      </c>
      <c r="D100" s="179">
        <v>4.2</v>
      </c>
      <c r="E100" s="180">
        <f>D100*LTT</f>
        <v>4410000</v>
      </c>
      <c r="F100" s="180">
        <f>$F$10</f>
        <v>210000</v>
      </c>
      <c r="G100" s="168">
        <f>E100*luongphu</f>
        <v>529200</v>
      </c>
      <c r="H100" s="168">
        <f>E100*khoantructiep</f>
        <v>176400</v>
      </c>
      <c r="I100" s="168">
        <f>E100*KhongOndinhSX</f>
        <v>441000</v>
      </c>
      <c r="J100" s="168">
        <f>E100*thuhut</f>
        <v>0</v>
      </c>
      <c r="K100" s="168"/>
      <c r="L100" s="168"/>
      <c r="M100" s="168">
        <f t="shared" si="19"/>
        <v>221792.3076923077</v>
      </c>
    </row>
    <row r="101" spans="1:13" ht="18">
      <c r="A101" s="173" t="s">
        <v>584</v>
      </c>
      <c r="B101" s="173"/>
      <c r="C101" s="161"/>
      <c r="D101" s="170"/>
      <c r="E101" s="172"/>
      <c r="F101" s="172"/>
      <c r="G101" s="172"/>
      <c r="H101" s="172"/>
      <c r="I101" s="172"/>
      <c r="J101" s="172"/>
      <c r="K101" s="172"/>
      <c r="L101" s="172"/>
      <c r="M101" s="172"/>
    </row>
    <row r="102" spans="1:13" ht="18">
      <c r="A102" s="183"/>
      <c r="B102" s="183"/>
      <c r="C102" s="178" t="s">
        <v>1272</v>
      </c>
      <c r="D102" s="179">
        <v>2.99</v>
      </c>
      <c r="E102" s="180">
        <f>D102*LTT</f>
        <v>3139500</v>
      </c>
      <c r="F102" s="180">
        <f>$F$10</f>
        <v>210000</v>
      </c>
      <c r="G102" s="168">
        <f>E102*luongphu</f>
        <v>376740</v>
      </c>
      <c r="H102" s="168">
        <f>E102*khoantructiep</f>
        <v>125580</v>
      </c>
      <c r="I102" s="168">
        <f>E102*KhongOndinhSX</f>
        <v>313950</v>
      </c>
      <c r="J102" s="168">
        <f>E102*thuhut</f>
        <v>0</v>
      </c>
      <c r="K102" s="168"/>
      <c r="L102" s="168"/>
      <c r="M102" s="168">
        <f t="shared" si="19"/>
        <v>160221.92307692306</v>
      </c>
    </row>
    <row r="103" spans="1:13" ht="18">
      <c r="A103" s="183"/>
      <c r="B103" s="183"/>
      <c r="C103" s="178" t="s">
        <v>1274</v>
      </c>
      <c r="D103" s="179">
        <v>3.5</v>
      </c>
      <c r="E103" s="180">
        <f>D103*LTT</f>
        <v>3675000</v>
      </c>
      <c r="F103" s="180">
        <f>$F$10</f>
        <v>210000</v>
      </c>
      <c r="G103" s="168">
        <f>E103*luongphu</f>
        <v>441000</v>
      </c>
      <c r="H103" s="168">
        <f>E103*khoantructiep</f>
        <v>147000</v>
      </c>
      <c r="I103" s="168">
        <f>E103*KhongOndinhSX</f>
        <v>367500</v>
      </c>
      <c r="J103" s="168">
        <f>E103*thuhut</f>
        <v>0</v>
      </c>
      <c r="K103" s="168"/>
      <c r="L103" s="168"/>
      <c r="M103" s="168">
        <f t="shared" si="19"/>
        <v>186173.07692307694</v>
      </c>
    </row>
    <row r="104" spans="1:13" ht="18">
      <c r="A104" s="183"/>
      <c r="B104" s="183"/>
      <c r="C104" s="178" t="s">
        <v>1275</v>
      </c>
      <c r="D104" s="179">
        <v>4.11</v>
      </c>
      <c r="E104" s="180">
        <f>D104*LTT</f>
        <v>4315500</v>
      </c>
      <c r="F104" s="180">
        <f>$F$10</f>
        <v>210000</v>
      </c>
      <c r="G104" s="168">
        <f>E104*luongphu</f>
        <v>517860</v>
      </c>
      <c r="H104" s="168">
        <f>E104*khoantructiep</f>
        <v>172620</v>
      </c>
      <c r="I104" s="168">
        <f>E104*KhongOndinhSX</f>
        <v>431550</v>
      </c>
      <c r="J104" s="168">
        <f>E104*thuhut</f>
        <v>0</v>
      </c>
      <c r="K104" s="168"/>
      <c r="L104" s="168"/>
      <c r="M104" s="168">
        <f t="shared" si="19"/>
        <v>217212.6923076923</v>
      </c>
    </row>
    <row r="105" spans="1:13" ht="18">
      <c r="A105" s="183"/>
      <c r="B105" s="183"/>
      <c r="C105" s="178" t="s">
        <v>1276</v>
      </c>
      <c r="D105" s="178">
        <v>4.82</v>
      </c>
      <c r="E105" s="180">
        <f>D105*LTT</f>
        <v>5061000</v>
      </c>
      <c r="F105" s="180">
        <f>$F$10</f>
        <v>210000</v>
      </c>
      <c r="G105" s="168">
        <f>E105*luongphu</f>
        <v>607320</v>
      </c>
      <c r="H105" s="168">
        <f>E105*khoantructiep</f>
        <v>202440</v>
      </c>
      <c r="I105" s="168">
        <f>E105*KhongOndinhSX</f>
        <v>506100</v>
      </c>
      <c r="J105" s="168">
        <f>E105*thuhut</f>
        <v>0</v>
      </c>
      <c r="K105" s="168"/>
      <c r="L105" s="168"/>
      <c r="M105" s="168">
        <f t="shared" si="19"/>
        <v>253340.76923076922</v>
      </c>
    </row>
    <row r="106" spans="1:13" ht="18">
      <c r="A106" s="173" t="s">
        <v>2679</v>
      </c>
      <c r="B106" s="173"/>
      <c r="C106" s="161"/>
      <c r="D106" s="170"/>
      <c r="E106" s="172"/>
      <c r="F106" s="172"/>
      <c r="G106" s="172"/>
      <c r="H106" s="172"/>
      <c r="I106" s="172"/>
      <c r="J106" s="172"/>
      <c r="K106" s="172"/>
      <c r="L106" s="172"/>
      <c r="M106" s="172"/>
    </row>
    <row r="107" spans="1:13" ht="18">
      <c r="A107" s="183"/>
      <c r="B107" s="183"/>
      <c r="C107" s="178" t="s">
        <v>1272</v>
      </c>
      <c r="D107" s="179">
        <v>3.2</v>
      </c>
      <c r="E107" s="180">
        <f>D107*LTT</f>
        <v>3360000</v>
      </c>
      <c r="F107" s="180">
        <f>$F$10</f>
        <v>210000</v>
      </c>
      <c r="G107" s="168">
        <f>E107*luongphu</f>
        <v>403200</v>
      </c>
      <c r="H107" s="168">
        <f>E107*khoantructiep</f>
        <v>134400</v>
      </c>
      <c r="I107" s="168">
        <f>E107*KhongOndinhSX</f>
        <v>336000</v>
      </c>
      <c r="J107" s="168">
        <f>E107*thuhut</f>
        <v>0</v>
      </c>
      <c r="K107" s="168"/>
      <c r="L107" s="168"/>
      <c r="M107" s="168">
        <f t="shared" si="19"/>
        <v>170907.6923076923</v>
      </c>
    </row>
    <row r="108" spans="1:13" ht="18">
      <c r="A108" s="183"/>
      <c r="B108" s="183"/>
      <c r="C108" s="178" t="s">
        <v>1274</v>
      </c>
      <c r="D108" s="179">
        <v>3.75</v>
      </c>
      <c r="E108" s="180">
        <f>D108*LTT</f>
        <v>3937500</v>
      </c>
      <c r="F108" s="180">
        <f>$F$10</f>
        <v>210000</v>
      </c>
      <c r="G108" s="168">
        <f>E108*luongphu</f>
        <v>472500</v>
      </c>
      <c r="H108" s="168">
        <f>E108*khoantructiep</f>
        <v>157500</v>
      </c>
      <c r="I108" s="168">
        <f>E108*KhongOndinhSX</f>
        <v>393750</v>
      </c>
      <c r="J108" s="168">
        <f>E108*thuhut</f>
        <v>0</v>
      </c>
      <c r="K108" s="168"/>
      <c r="L108" s="168"/>
      <c r="M108" s="168">
        <f t="shared" si="19"/>
        <v>198894.23076923078</v>
      </c>
    </row>
    <row r="109" spans="1:13" ht="18">
      <c r="A109" s="183"/>
      <c r="B109" s="183"/>
      <c r="C109" s="178" t="s">
        <v>1275</v>
      </c>
      <c r="D109" s="179">
        <v>4.39</v>
      </c>
      <c r="E109" s="180">
        <f>D109*LTT</f>
        <v>4609500</v>
      </c>
      <c r="F109" s="180">
        <f>$F$10</f>
        <v>210000</v>
      </c>
      <c r="G109" s="168">
        <f>E109*luongphu</f>
        <v>553140</v>
      </c>
      <c r="H109" s="168">
        <f>E109*khoantructiep</f>
        <v>184380</v>
      </c>
      <c r="I109" s="168">
        <f>E109*KhongOndinhSX</f>
        <v>460950</v>
      </c>
      <c r="J109" s="168">
        <f>E109*thuhut</f>
        <v>0</v>
      </c>
      <c r="K109" s="168"/>
      <c r="L109" s="168"/>
      <c r="M109" s="168">
        <f t="shared" si="19"/>
        <v>231460.38461538462</v>
      </c>
    </row>
    <row r="110" spans="1:13" ht="18">
      <c r="A110" s="183"/>
      <c r="B110" s="183"/>
      <c r="C110" s="178" t="s">
        <v>1276</v>
      </c>
      <c r="D110" s="179">
        <v>5.15</v>
      </c>
      <c r="E110" s="180">
        <f>D110*LTT</f>
        <v>5407500</v>
      </c>
      <c r="F110" s="180">
        <f>$F$10</f>
        <v>210000</v>
      </c>
      <c r="G110" s="168">
        <f>E110*luongphu</f>
        <v>648900</v>
      </c>
      <c r="H110" s="168">
        <f>E110*khoantructiep</f>
        <v>216300</v>
      </c>
      <c r="I110" s="168">
        <f>E110*KhongOndinhSX</f>
        <v>540750</v>
      </c>
      <c r="J110" s="168">
        <f>E110*thuhut</f>
        <v>0</v>
      </c>
      <c r="K110" s="168"/>
      <c r="L110" s="168"/>
      <c r="M110" s="168">
        <f t="shared" si="19"/>
        <v>270132.6923076923</v>
      </c>
    </row>
    <row r="111" spans="1:13" ht="18">
      <c r="A111" s="169" t="s">
        <v>2680</v>
      </c>
      <c r="B111" s="169"/>
      <c r="C111" s="184"/>
      <c r="D111" s="184"/>
      <c r="E111" s="171"/>
      <c r="F111" s="171"/>
      <c r="G111" s="171"/>
      <c r="H111" s="172"/>
      <c r="I111" s="172"/>
      <c r="J111" s="172"/>
      <c r="K111" s="172"/>
      <c r="L111" s="172"/>
      <c r="M111" s="172"/>
    </row>
    <row r="112" spans="1:13" ht="18">
      <c r="A112" s="169" t="s">
        <v>2681</v>
      </c>
      <c r="B112" s="169"/>
      <c r="C112" s="184"/>
      <c r="D112" s="184"/>
      <c r="E112" s="171"/>
      <c r="F112" s="171"/>
      <c r="G112" s="171"/>
      <c r="H112" s="172"/>
      <c r="I112" s="172"/>
      <c r="J112" s="172"/>
      <c r="K112" s="172"/>
      <c r="L112" s="172"/>
      <c r="M112" s="172"/>
    </row>
    <row r="113" spans="1:13" ht="18">
      <c r="A113" s="185" t="s">
        <v>2682</v>
      </c>
      <c r="B113" s="185"/>
      <c r="C113" s="186"/>
      <c r="D113" s="186"/>
      <c r="E113" s="171"/>
      <c r="F113" s="171"/>
      <c r="G113" s="171"/>
      <c r="H113" s="172"/>
      <c r="I113" s="172"/>
      <c r="J113" s="172"/>
      <c r="K113" s="172"/>
      <c r="L113" s="172"/>
      <c r="M113" s="172"/>
    </row>
    <row r="114" spans="1:13" ht="18">
      <c r="A114" s="187" t="s">
        <v>2683</v>
      </c>
      <c r="B114" s="187"/>
      <c r="C114" s="186"/>
      <c r="D114" s="186"/>
      <c r="E114" s="171"/>
      <c r="F114" s="171"/>
      <c r="G114" s="171"/>
      <c r="H114" s="172"/>
      <c r="I114" s="172"/>
      <c r="J114" s="172"/>
      <c r="K114" s="172"/>
      <c r="L114" s="172"/>
      <c r="M114" s="172"/>
    </row>
    <row r="115" spans="1:13" ht="18">
      <c r="A115" s="173" t="s">
        <v>2684</v>
      </c>
      <c r="B115" s="173"/>
      <c r="C115" s="188"/>
      <c r="D115" s="170"/>
      <c r="E115" s="172"/>
      <c r="F115" s="172"/>
      <c r="G115" s="172"/>
      <c r="H115" s="172"/>
      <c r="I115" s="172"/>
      <c r="J115" s="172"/>
      <c r="K115" s="172"/>
      <c r="L115" s="172"/>
      <c r="M115" s="172"/>
    </row>
    <row r="116" spans="1:13" ht="18">
      <c r="A116" s="185" t="s">
        <v>2685</v>
      </c>
      <c r="B116" s="185"/>
      <c r="C116" s="170"/>
      <c r="D116" s="170"/>
      <c r="E116" s="172"/>
      <c r="F116" s="172"/>
      <c r="G116" s="172"/>
      <c r="H116" s="172"/>
      <c r="I116" s="172"/>
      <c r="J116" s="172"/>
      <c r="K116" s="172"/>
      <c r="L116" s="172"/>
      <c r="M116" s="172"/>
    </row>
    <row r="117" spans="1:13" ht="18">
      <c r="A117" s="173" t="s">
        <v>2686</v>
      </c>
      <c r="B117" s="173"/>
      <c r="C117" s="170"/>
      <c r="D117" s="170"/>
      <c r="E117" s="172"/>
      <c r="F117" s="172"/>
      <c r="G117" s="172"/>
      <c r="H117" s="172"/>
      <c r="I117" s="172"/>
      <c r="J117" s="172"/>
      <c r="K117" s="172"/>
      <c r="L117" s="172"/>
      <c r="M117" s="172"/>
    </row>
    <row r="118" spans="1:13" ht="18">
      <c r="A118" s="189"/>
      <c r="B118" s="189"/>
      <c r="C118" s="183"/>
      <c r="D118" s="190">
        <v>2.18</v>
      </c>
      <c r="E118" s="191">
        <f>D118*LTT</f>
        <v>2289000</v>
      </c>
      <c r="F118" s="180">
        <f>$F$10</f>
        <v>210000</v>
      </c>
      <c r="G118" s="168">
        <f>E118*luongphu</f>
        <v>274680</v>
      </c>
      <c r="H118" s="168">
        <f>E118*khoantructiep</f>
        <v>91560</v>
      </c>
      <c r="I118" s="168">
        <f>E118*KhongOndinhSX</f>
        <v>228900</v>
      </c>
      <c r="J118" s="168">
        <f>E118*thuhut</f>
        <v>0</v>
      </c>
      <c r="K118" s="168"/>
      <c r="L118" s="168"/>
      <c r="M118" s="168">
        <f>SUM(E118:L118)/26</f>
        <v>119005.38461538461</v>
      </c>
    </row>
    <row r="119" spans="1:13" ht="18">
      <c r="A119" s="189"/>
      <c r="B119" s="189"/>
      <c r="C119" s="183"/>
      <c r="D119" s="190">
        <v>2.59</v>
      </c>
      <c r="E119" s="191">
        <f>D119*LTT</f>
        <v>2719500</v>
      </c>
      <c r="F119" s="180">
        <f>$F$10</f>
        <v>210000</v>
      </c>
      <c r="G119" s="168">
        <f>E119*luongphu</f>
        <v>326340</v>
      </c>
      <c r="H119" s="168">
        <f>E119*khoantructiep</f>
        <v>108780</v>
      </c>
      <c r="I119" s="168">
        <f>E119*KhongOndinhSX</f>
        <v>271950</v>
      </c>
      <c r="J119" s="168">
        <f>E119*thuhut</f>
        <v>0</v>
      </c>
      <c r="K119" s="168"/>
      <c r="L119" s="168"/>
      <c r="M119" s="168">
        <f aca="true" t="shared" si="20" ref="M119:M141">SUM(E119:L119)/26</f>
        <v>139868.07692307694</v>
      </c>
    </row>
    <row r="120" spans="1:13" ht="18">
      <c r="A120" s="189"/>
      <c r="B120" s="189"/>
      <c r="C120" s="183"/>
      <c r="D120" s="190">
        <v>3.08</v>
      </c>
      <c r="E120" s="191">
        <f>D120*LTT</f>
        <v>3234000</v>
      </c>
      <c r="F120" s="180">
        <f>$F$10</f>
        <v>210000</v>
      </c>
      <c r="G120" s="168">
        <f>E120*luongphu</f>
        <v>388080</v>
      </c>
      <c r="H120" s="168">
        <f>E120*khoantructiep</f>
        <v>129360</v>
      </c>
      <c r="I120" s="168">
        <f>E120*KhongOndinhSX</f>
        <v>323400</v>
      </c>
      <c r="J120" s="168">
        <f>E120*thuhut</f>
        <v>0</v>
      </c>
      <c r="K120" s="168"/>
      <c r="L120" s="168"/>
      <c r="M120" s="168">
        <f t="shared" si="20"/>
        <v>164801.53846153847</v>
      </c>
    </row>
    <row r="121" spans="1:13" ht="18">
      <c r="A121" s="189"/>
      <c r="B121" s="189"/>
      <c r="C121" s="183"/>
      <c r="D121" s="190">
        <v>3.73</v>
      </c>
      <c r="E121" s="191">
        <f>D121*LTT</f>
        <v>3916500</v>
      </c>
      <c r="F121" s="180">
        <f>$F$10</f>
        <v>210000</v>
      </c>
      <c r="G121" s="168">
        <f>E121*luongphu</f>
        <v>469980</v>
      </c>
      <c r="H121" s="168">
        <f>E121*khoantructiep</f>
        <v>156660</v>
      </c>
      <c r="I121" s="168">
        <f>E121*KhongOndinhSX</f>
        <v>391650</v>
      </c>
      <c r="J121" s="168">
        <f>E121*thuhut</f>
        <v>0</v>
      </c>
      <c r="K121" s="168"/>
      <c r="L121" s="168"/>
      <c r="M121" s="168">
        <f t="shared" si="20"/>
        <v>197876.53846153847</v>
      </c>
    </row>
    <row r="122" spans="1:13" ht="18">
      <c r="A122" s="173" t="s">
        <v>2687</v>
      </c>
      <c r="B122" s="173"/>
      <c r="C122" s="170"/>
      <c r="D122" s="170"/>
      <c r="E122" s="172"/>
      <c r="F122" s="172"/>
      <c r="G122" s="172"/>
      <c r="H122" s="172"/>
      <c r="I122" s="172"/>
      <c r="J122" s="172"/>
      <c r="K122" s="172"/>
      <c r="L122" s="172"/>
      <c r="M122" s="168"/>
    </row>
    <row r="123" spans="1:13" ht="18">
      <c r="A123" s="189"/>
      <c r="B123" s="189"/>
      <c r="C123" s="183"/>
      <c r="D123" s="190">
        <v>2.51</v>
      </c>
      <c r="E123" s="191">
        <f>D123*LTT</f>
        <v>2635500</v>
      </c>
      <c r="F123" s="180">
        <f>$F$10</f>
        <v>210000</v>
      </c>
      <c r="G123" s="168">
        <f>E123*luongphu</f>
        <v>316260</v>
      </c>
      <c r="H123" s="168">
        <f>E123*khoantructiep</f>
        <v>105420</v>
      </c>
      <c r="I123" s="168">
        <f>E123*KhongOndinhSX</f>
        <v>263550</v>
      </c>
      <c r="J123" s="168">
        <f>E123*thuhut</f>
        <v>0</v>
      </c>
      <c r="K123" s="168"/>
      <c r="L123" s="168"/>
      <c r="M123" s="168">
        <f t="shared" si="20"/>
        <v>135797.3076923077</v>
      </c>
    </row>
    <row r="124" spans="1:13" ht="18">
      <c r="A124" s="189"/>
      <c r="B124" s="189"/>
      <c r="C124" s="183"/>
      <c r="D124" s="190">
        <v>2.93</v>
      </c>
      <c r="E124" s="191">
        <f>D124*LTT</f>
        <v>3076500</v>
      </c>
      <c r="F124" s="180">
        <f>$F$10</f>
        <v>210000</v>
      </c>
      <c r="G124" s="168">
        <f>E124*luongphu</f>
        <v>369180</v>
      </c>
      <c r="H124" s="168">
        <f>E124*khoantructiep</f>
        <v>123060</v>
      </c>
      <c r="I124" s="168">
        <f>E124*KhongOndinhSX</f>
        <v>307650</v>
      </c>
      <c r="J124" s="168">
        <f>E124*thuhut</f>
        <v>0</v>
      </c>
      <c r="K124" s="168"/>
      <c r="L124" s="168"/>
      <c r="M124" s="168">
        <f t="shared" si="20"/>
        <v>157168.84615384616</v>
      </c>
    </row>
    <row r="125" spans="1:13" ht="18">
      <c r="A125" s="189"/>
      <c r="B125" s="189"/>
      <c r="C125" s="183"/>
      <c r="D125" s="190">
        <v>3.49</v>
      </c>
      <c r="E125" s="191">
        <f>D125*LTT</f>
        <v>3664500</v>
      </c>
      <c r="F125" s="180">
        <f>$F$10</f>
        <v>210000</v>
      </c>
      <c r="G125" s="168">
        <f>E125*luongphu</f>
        <v>439740</v>
      </c>
      <c r="H125" s="168">
        <f>E125*khoantructiep</f>
        <v>146580</v>
      </c>
      <c r="I125" s="168">
        <f>E125*KhongOndinhSX</f>
        <v>366450</v>
      </c>
      <c r="J125" s="168">
        <f>E125*thuhut</f>
        <v>0</v>
      </c>
      <c r="K125" s="168"/>
      <c r="L125" s="168"/>
      <c r="M125" s="168">
        <f t="shared" si="20"/>
        <v>185664.23076923078</v>
      </c>
    </row>
    <row r="126" spans="1:13" ht="18">
      <c r="A126" s="189"/>
      <c r="B126" s="189"/>
      <c r="C126" s="183"/>
      <c r="D126" s="190">
        <v>4.16</v>
      </c>
      <c r="E126" s="191">
        <f>D126*LTT</f>
        <v>4368000</v>
      </c>
      <c r="F126" s="180">
        <f>$F$10</f>
        <v>210000</v>
      </c>
      <c r="G126" s="168">
        <f>E126*luongphu</f>
        <v>524160</v>
      </c>
      <c r="H126" s="168">
        <f>E126*khoantructiep</f>
        <v>174720</v>
      </c>
      <c r="I126" s="168">
        <f>E126*KhongOndinhSX</f>
        <v>436800</v>
      </c>
      <c r="J126" s="168">
        <f>E126*thuhut</f>
        <v>0</v>
      </c>
      <c r="K126" s="168"/>
      <c r="L126" s="168"/>
      <c r="M126" s="168">
        <f t="shared" si="20"/>
        <v>219756.92307692306</v>
      </c>
    </row>
    <row r="127" spans="1:13" ht="18">
      <c r="A127" s="173" t="s">
        <v>2688</v>
      </c>
      <c r="B127" s="173"/>
      <c r="C127" s="170"/>
      <c r="D127" s="170"/>
      <c r="E127" s="172"/>
      <c r="F127" s="172"/>
      <c r="G127" s="172"/>
      <c r="H127" s="172"/>
      <c r="I127" s="172"/>
      <c r="J127" s="172"/>
      <c r="K127" s="172"/>
      <c r="L127" s="172"/>
      <c r="M127" s="168"/>
    </row>
    <row r="128" spans="1:13" ht="18">
      <c r="A128" s="189"/>
      <c r="B128" s="189"/>
      <c r="C128" s="183"/>
      <c r="D128" s="190">
        <v>2.35</v>
      </c>
      <c r="E128" s="191">
        <f>D128*LTT</f>
        <v>2467500</v>
      </c>
      <c r="F128" s="180">
        <f>$F$10</f>
        <v>210000</v>
      </c>
      <c r="G128" s="168">
        <f>E128*luongphu</f>
        <v>296100</v>
      </c>
      <c r="H128" s="168">
        <f>E128*khoantructiep</f>
        <v>98700</v>
      </c>
      <c r="I128" s="168">
        <f>E128*KhongOndinhSX</f>
        <v>246750</v>
      </c>
      <c r="J128" s="168">
        <f>E128*thuhut</f>
        <v>0</v>
      </c>
      <c r="K128" s="168"/>
      <c r="L128" s="168"/>
      <c r="M128" s="168">
        <f t="shared" si="20"/>
        <v>127655.76923076923</v>
      </c>
    </row>
    <row r="129" spans="1:13" ht="18">
      <c r="A129" s="189"/>
      <c r="B129" s="189"/>
      <c r="C129" s="183"/>
      <c r="D129" s="190">
        <v>2.72</v>
      </c>
      <c r="E129" s="191">
        <f>D129*LTT</f>
        <v>2856000</v>
      </c>
      <c r="F129" s="180">
        <f>$F$10</f>
        <v>210000</v>
      </c>
      <c r="G129" s="168">
        <f>E129*luongphu</f>
        <v>342720</v>
      </c>
      <c r="H129" s="168">
        <f>E129*khoantructiep</f>
        <v>114240</v>
      </c>
      <c r="I129" s="168">
        <f>E129*KhongOndinhSX</f>
        <v>285600</v>
      </c>
      <c r="J129" s="168">
        <f>E129*thuhut</f>
        <v>0</v>
      </c>
      <c r="K129" s="168"/>
      <c r="L129" s="168"/>
      <c r="M129" s="168">
        <f t="shared" si="20"/>
        <v>146483.07692307694</v>
      </c>
    </row>
    <row r="130" spans="1:13" ht="18">
      <c r="A130" s="189"/>
      <c r="B130" s="189"/>
      <c r="C130" s="183"/>
      <c r="D130" s="190">
        <v>3.25</v>
      </c>
      <c r="E130" s="191">
        <f>D130*LTT</f>
        <v>3412500</v>
      </c>
      <c r="F130" s="180">
        <f>$F$10</f>
        <v>210000</v>
      </c>
      <c r="G130" s="168">
        <f>E130*luongphu</f>
        <v>409500</v>
      </c>
      <c r="H130" s="168">
        <f>E130*khoantructiep</f>
        <v>136500</v>
      </c>
      <c r="I130" s="168">
        <f>E130*KhongOndinhSX</f>
        <v>341250</v>
      </c>
      <c r="J130" s="168">
        <f>E130*thuhut</f>
        <v>0</v>
      </c>
      <c r="K130" s="168"/>
      <c r="L130" s="168"/>
      <c r="M130" s="168">
        <f t="shared" si="20"/>
        <v>173451.92307692306</v>
      </c>
    </row>
    <row r="131" spans="1:13" ht="18">
      <c r="A131" s="189"/>
      <c r="B131" s="189"/>
      <c r="C131" s="183"/>
      <c r="D131" s="190">
        <v>3.91</v>
      </c>
      <c r="E131" s="191">
        <f>D131*LTT</f>
        <v>4105500</v>
      </c>
      <c r="F131" s="180">
        <f>$F$10</f>
        <v>210000</v>
      </c>
      <c r="G131" s="168">
        <f>E131*luongphu</f>
        <v>492660</v>
      </c>
      <c r="H131" s="168">
        <f>E131*khoantructiep</f>
        <v>164220</v>
      </c>
      <c r="I131" s="168">
        <f>E131*KhongOndinhSX</f>
        <v>410550</v>
      </c>
      <c r="J131" s="168">
        <f>E131*thuhut</f>
        <v>0</v>
      </c>
      <c r="K131" s="168"/>
      <c r="L131" s="168"/>
      <c r="M131" s="168">
        <f t="shared" si="20"/>
        <v>207035.76923076922</v>
      </c>
    </row>
    <row r="132" spans="1:13" ht="18">
      <c r="A132" s="173" t="s">
        <v>2689</v>
      </c>
      <c r="B132" s="173"/>
      <c r="C132" s="170"/>
      <c r="D132" s="170"/>
      <c r="E132" s="172"/>
      <c r="F132" s="172"/>
      <c r="G132" s="172"/>
      <c r="H132" s="172"/>
      <c r="I132" s="172"/>
      <c r="J132" s="172"/>
      <c r="K132" s="172"/>
      <c r="L132" s="172"/>
      <c r="M132" s="168"/>
    </row>
    <row r="133" spans="1:13" ht="18">
      <c r="A133" s="189"/>
      <c r="B133" s="189"/>
      <c r="C133" s="183"/>
      <c r="D133" s="190">
        <v>1.75</v>
      </c>
      <c r="E133" s="191">
        <f>D133*LTT</f>
        <v>1837500</v>
      </c>
      <c r="F133" s="180">
        <f>$F$10</f>
        <v>210000</v>
      </c>
      <c r="G133" s="168">
        <f>E133*luongphu</f>
        <v>220500</v>
      </c>
      <c r="H133" s="168">
        <f>E133*khoantructiep</f>
        <v>73500</v>
      </c>
      <c r="I133" s="168">
        <f>E133*KhongOndinhSX</f>
        <v>183750</v>
      </c>
      <c r="J133" s="168">
        <f>E133*thuhut</f>
        <v>0</v>
      </c>
      <c r="K133" s="168"/>
      <c r="L133" s="168"/>
      <c r="M133" s="168">
        <f t="shared" si="20"/>
        <v>97125</v>
      </c>
    </row>
    <row r="134" spans="1:13" ht="18">
      <c r="A134" s="189"/>
      <c r="B134" s="189"/>
      <c r="C134" s="183"/>
      <c r="D134" s="190">
        <v>1.99</v>
      </c>
      <c r="E134" s="191">
        <f>D134*LTT</f>
        <v>2089500</v>
      </c>
      <c r="F134" s="180">
        <f>$F$10</f>
        <v>210000</v>
      </c>
      <c r="G134" s="168">
        <f>E134*luongphu</f>
        <v>250740</v>
      </c>
      <c r="H134" s="168">
        <f>E134*khoantructiep</f>
        <v>83580</v>
      </c>
      <c r="I134" s="168">
        <f>E134*KhongOndinhSX</f>
        <v>208950</v>
      </c>
      <c r="J134" s="168">
        <f>E134*thuhut</f>
        <v>0</v>
      </c>
      <c r="K134" s="168"/>
      <c r="L134" s="168"/>
      <c r="M134" s="168">
        <f t="shared" si="20"/>
        <v>109337.30769230769</v>
      </c>
    </row>
    <row r="135" spans="1:13" ht="18">
      <c r="A135" s="189"/>
      <c r="B135" s="189"/>
      <c r="C135" s="183"/>
      <c r="D135" s="190">
        <v>2.35</v>
      </c>
      <c r="E135" s="191">
        <f>D135*LTT</f>
        <v>2467500</v>
      </c>
      <c r="F135" s="180">
        <f>$F$10</f>
        <v>210000</v>
      </c>
      <c r="G135" s="168">
        <f>E135*luongphu</f>
        <v>296100</v>
      </c>
      <c r="H135" s="168">
        <f>E135*khoantructiep</f>
        <v>98700</v>
      </c>
      <c r="I135" s="168">
        <f>E135*KhongOndinhSX</f>
        <v>246750</v>
      </c>
      <c r="J135" s="168">
        <f>E135*thuhut</f>
        <v>0</v>
      </c>
      <c r="K135" s="168"/>
      <c r="L135" s="168"/>
      <c r="M135" s="168">
        <f t="shared" si="20"/>
        <v>127655.76923076923</v>
      </c>
    </row>
    <row r="136" spans="1:13" ht="18">
      <c r="A136" s="189"/>
      <c r="B136" s="189"/>
      <c r="C136" s="183"/>
      <c r="D136" s="190">
        <v>2.66</v>
      </c>
      <c r="E136" s="191">
        <f>D136*LTT</f>
        <v>2793000</v>
      </c>
      <c r="F136" s="180">
        <f>$F$10</f>
        <v>210000</v>
      </c>
      <c r="G136" s="168">
        <f>E136*luongphu</f>
        <v>335160</v>
      </c>
      <c r="H136" s="168">
        <f>E136*khoantructiep</f>
        <v>111720</v>
      </c>
      <c r="I136" s="168">
        <f>E136*KhongOndinhSX</f>
        <v>279300</v>
      </c>
      <c r="J136" s="168">
        <f>E136*thuhut</f>
        <v>0</v>
      </c>
      <c r="K136" s="168"/>
      <c r="L136" s="168"/>
      <c r="M136" s="168">
        <f t="shared" si="20"/>
        <v>143430</v>
      </c>
    </row>
    <row r="137" spans="1:13" ht="18">
      <c r="A137" s="173" t="s">
        <v>2690</v>
      </c>
      <c r="B137" s="173"/>
      <c r="C137" s="170"/>
      <c r="D137" s="170"/>
      <c r="E137" s="172"/>
      <c r="F137" s="172"/>
      <c r="G137" s="172"/>
      <c r="H137" s="172"/>
      <c r="I137" s="172"/>
      <c r="J137" s="172"/>
      <c r="K137" s="172"/>
      <c r="L137" s="172"/>
      <c r="M137" s="168"/>
    </row>
    <row r="138" spans="1:13" ht="18">
      <c r="A138" s="189"/>
      <c r="B138" s="189"/>
      <c r="C138" s="183"/>
      <c r="D138" s="190">
        <v>1.93</v>
      </c>
      <c r="E138" s="191">
        <f>D138*LTT</f>
        <v>2026500</v>
      </c>
      <c r="F138" s="180">
        <f>$F$10</f>
        <v>210000</v>
      </c>
      <c r="G138" s="168">
        <f>E138*luongphu</f>
        <v>243180</v>
      </c>
      <c r="H138" s="168">
        <f>E138*khoantructiep</f>
        <v>81060</v>
      </c>
      <c r="I138" s="168">
        <f>E138*KhongOndinhSX</f>
        <v>202650</v>
      </c>
      <c r="J138" s="168">
        <f>E138*thuhut</f>
        <v>0</v>
      </c>
      <c r="K138" s="168"/>
      <c r="L138" s="168"/>
      <c r="M138" s="168">
        <f t="shared" si="20"/>
        <v>106284.23076923077</v>
      </c>
    </row>
    <row r="139" spans="1:13" ht="18">
      <c r="A139" s="189"/>
      <c r="B139" s="189"/>
      <c r="C139" s="183"/>
      <c r="D139" s="190">
        <v>2.38</v>
      </c>
      <c r="E139" s="191">
        <f>D139*LTT</f>
        <v>2499000</v>
      </c>
      <c r="F139" s="180">
        <f>$F$10</f>
        <v>210000</v>
      </c>
      <c r="G139" s="168">
        <f>E139*luongphu</f>
        <v>299880</v>
      </c>
      <c r="H139" s="168">
        <f>E139*khoantructiep</f>
        <v>99960</v>
      </c>
      <c r="I139" s="168">
        <f>E139*KhongOndinhSX</f>
        <v>249900</v>
      </c>
      <c r="J139" s="168">
        <f>E139*thuhut</f>
        <v>0</v>
      </c>
      <c r="K139" s="168"/>
      <c r="L139" s="168"/>
      <c r="M139" s="168">
        <f t="shared" si="20"/>
        <v>129182.30769230769</v>
      </c>
    </row>
    <row r="140" spans="1:13" ht="18">
      <c r="A140" s="189"/>
      <c r="B140" s="189"/>
      <c r="C140" s="183"/>
      <c r="D140" s="190">
        <v>2.74</v>
      </c>
      <c r="E140" s="191">
        <f>D140*LTT</f>
        <v>2877000</v>
      </c>
      <c r="F140" s="180">
        <f>$F$10</f>
        <v>210000</v>
      </c>
      <c r="G140" s="168">
        <f>E140*luongphu</f>
        <v>345240</v>
      </c>
      <c r="H140" s="168">
        <f>E140*khoantructiep</f>
        <v>115080</v>
      </c>
      <c r="I140" s="168">
        <f>E140*KhongOndinhSX</f>
        <v>287700</v>
      </c>
      <c r="J140" s="168">
        <f>E140*thuhut</f>
        <v>0</v>
      </c>
      <c r="K140" s="168"/>
      <c r="L140" s="168"/>
      <c r="M140" s="168">
        <f t="shared" si="20"/>
        <v>147500.76923076922</v>
      </c>
    </row>
    <row r="141" spans="1:13" ht="18">
      <c r="A141" s="189"/>
      <c r="B141" s="189"/>
      <c r="C141" s="183"/>
      <c r="D141" s="190">
        <v>3.15</v>
      </c>
      <c r="E141" s="191">
        <f>D141*LTT</f>
        <v>3307500</v>
      </c>
      <c r="F141" s="180">
        <f>$F$10</f>
        <v>210000</v>
      </c>
      <c r="G141" s="168">
        <f>E141*luongphu</f>
        <v>396900</v>
      </c>
      <c r="H141" s="168">
        <f>E141*khoantructiep</f>
        <v>132300</v>
      </c>
      <c r="I141" s="168">
        <f>E141*KhongOndinhSX</f>
        <v>330750</v>
      </c>
      <c r="J141" s="168">
        <f>E141*thuhut</f>
        <v>0</v>
      </c>
      <c r="K141" s="168"/>
      <c r="L141" s="168"/>
      <c r="M141" s="168">
        <f t="shared" si="20"/>
        <v>168363.46153846153</v>
      </c>
    </row>
    <row r="142" spans="1:13" ht="18">
      <c r="A142" s="185" t="s">
        <v>2691</v>
      </c>
      <c r="B142" s="185"/>
      <c r="C142" s="170"/>
      <c r="D142" s="170"/>
      <c r="E142" s="172"/>
      <c r="F142" s="172"/>
      <c r="G142" s="172"/>
      <c r="H142" s="172"/>
      <c r="I142" s="172"/>
      <c r="J142" s="172"/>
      <c r="K142" s="172"/>
      <c r="L142" s="172"/>
      <c r="M142" s="168"/>
    </row>
    <row r="143" spans="1:13" ht="18">
      <c r="A143" s="173" t="s">
        <v>2686</v>
      </c>
      <c r="B143" s="173"/>
      <c r="C143" s="170"/>
      <c r="D143" s="170"/>
      <c r="E143" s="172"/>
      <c r="F143" s="172"/>
      <c r="G143" s="172"/>
      <c r="H143" s="172"/>
      <c r="I143" s="172"/>
      <c r="J143" s="172"/>
      <c r="K143" s="172"/>
      <c r="L143" s="172"/>
      <c r="M143" s="168"/>
    </row>
    <row r="144" spans="1:13" ht="18">
      <c r="A144" s="173" t="s">
        <v>2692</v>
      </c>
      <c r="B144" s="173"/>
      <c r="C144" s="170"/>
      <c r="D144" s="170"/>
      <c r="E144" s="172"/>
      <c r="F144" s="172"/>
      <c r="G144" s="172"/>
      <c r="H144" s="172"/>
      <c r="I144" s="172"/>
      <c r="J144" s="172"/>
      <c r="K144" s="172"/>
      <c r="L144" s="172"/>
      <c r="M144" s="168"/>
    </row>
    <row r="145" spans="1:13" ht="18">
      <c r="A145" s="189"/>
      <c r="B145" s="189"/>
      <c r="C145" s="183"/>
      <c r="D145" s="190">
        <v>1.93</v>
      </c>
      <c r="E145" s="191">
        <f>D145*LTT</f>
        <v>2026500</v>
      </c>
      <c r="F145" s="180">
        <f>$F$10</f>
        <v>210000</v>
      </c>
      <c r="G145" s="168">
        <f>E145*luongphu</f>
        <v>243180</v>
      </c>
      <c r="H145" s="168">
        <f>E145*khoantructiep</f>
        <v>81060</v>
      </c>
      <c r="I145" s="168">
        <f>E145*KhongOndinhSX</f>
        <v>202650</v>
      </c>
      <c r="J145" s="168">
        <f>E145*thuhut</f>
        <v>0</v>
      </c>
      <c r="K145" s="168"/>
      <c r="L145" s="168"/>
      <c r="M145" s="168">
        <f>SUM(E145:L145)/26</f>
        <v>106284.23076923077</v>
      </c>
    </row>
    <row r="146" spans="1:13" ht="18">
      <c r="A146" s="189"/>
      <c r="B146" s="189"/>
      <c r="C146" s="183"/>
      <c r="D146" s="190">
        <v>2.18</v>
      </c>
      <c r="E146" s="191">
        <f>D146*LTT</f>
        <v>2289000</v>
      </c>
      <c r="F146" s="180">
        <f>$F$10</f>
        <v>210000</v>
      </c>
      <c r="G146" s="168">
        <f>E146*luongphu</f>
        <v>274680</v>
      </c>
      <c r="H146" s="168">
        <f>E146*khoantructiep</f>
        <v>91560</v>
      </c>
      <c r="I146" s="168">
        <f>E146*KhongOndinhSX</f>
        <v>228900</v>
      </c>
      <c r="J146" s="168">
        <f>E146*thuhut</f>
        <v>0</v>
      </c>
      <c r="K146" s="168"/>
      <c r="L146" s="168"/>
      <c r="M146" s="168">
        <f>SUM(E146:L146)/26</f>
        <v>119005.38461538461</v>
      </c>
    </row>
    <row r="147" spans="1:13" ht="18">
      <c r="A147" s="189"/>
      <c r="B147" s="189"/>
      <c r="C147" s="183"/>
      <c r="D147" s="190">
        <v>2.51</v>
      </c>
      <c r="E147" s="191">
        <f>D147*LTT</f>
        <v>2635500</v>
      </c>
      <c r="F147" s="180">
        <f>$F$10</f>
        <v>210000</v>
      </c>
      <c r="G147" s="168">
        <f>E147*luongphu</f>
        <v>316260</v>
      </c>
      <c r="H147" s="168">
        <f>E147*khoantructiep</f>
        <v>105420</v>
      </c>
      <c r="I147" s="168">
        <f>E147*KhongOndinhSX</f>
        <v>263550</v>
      </c>
      <c r="J147" s="168">
        <f>E147*thuhut</f>
        <v>0</v>
      </c>
      <c r="K147" s="168"/>
      <c r="L147" s="168"/>
      <c r="M147" s="168">
        <f>SUM(E147:L147)/26</f>
        <v>135797.3076923077</v>
      </c>
    </row>
    <row r="148" spans="1:13" ht="18">
      <c r="A148" s="189"/>
      <c r="B148" s="189"/>
      <c r="C148" s="183"/>
      <c r="D148" s="190">
        <v>2.83</v>
      </c>
      <c r="E148" s="191">
        <f>D148*LTT</f>
        <v>2971500</v>
      </c>
      <c r="F148" s="180">
        <f>$F$10</f>
        <v>210000</v>
      </c>
      <c r="G148" s="168">
        <f>E148*luongphu</f>
        <v>356580</v>
      </c>
      <c r="H148" s="168">
        <f>E148*khoantructiep</f>
        <v>118860</v>
      </c>
      <c r="I148" s="168">
        <f>E148*KhongOndinhSX</f>
        <v>297150</v>
      </c>
      <c r="J148" s="168">
        <f>E148*thuhut</f>
        <v>0</v>
      </c>
      <c r="K148" s="168"/>
      <c r="L148" s="168"/>
      <c r="M148" s="168">
        <f>SUM(E148:L148)/26</f>
        <v>152080.38461538462</v>
      </c>
    </row>
    <row r="149" spans="1:13" ht="18">
      <c r="A149" s="173" t="s">
        <v>2693</v>
      </c>
      <c r="B149" s="173"/>
      <c r="C149" s="170"/>
      <c r="D149" s="170"/>
      <c r="E149" s="172"/>
      <c r="F149" s="172"/>
      <c r="G149" s="172"/>
      <c r="H149" s="172"/>
      <c r="I149" s="172"/>
      <c r="J149" s="172"/>
      <c r="K149" s="172"/>
      <c r="L149" s="172"/>
      <c r="M149" s="168"/>
    </row>
    <row r="150" spans="1:13" ht="18">
      <c r="A150" s="189"/>
      <c r="B150" s="189"/>
      <c r="C150" s="183"/>
      <c r="D150" s="190">
        <v>2.12</v>
      </c>
      <c r="E150" s="191">
        <f>D150*LTT</f>
        <v>2226000</v>
      </c>
      <c r="F150" s="180">
        <f>$F$10</f>
        <v>210000</v>
      </c>
      <c r="G150" s="168">
        <f>E150*luongphu</f>
        <v>267120</v>
      </c>
      <c r="H150" s="168">
        <f>E150*khoantructiep</f>
        <v>89040</v>
      </c>
      <c r="I150" s="168">
        <f>E150*KhongOndinhSX</f>
        <v>222600</v>
      </c>
      <c r="J150" s="168">
        <f>E150*thuhut</f>
        <v>0</v>
      </c>
      <c r="K150" s="168"/>
      <c r="L150" s="168"/>
      <c r="M150" s="168">
        <f>SUM(E150:L150)/26</f>
        <v>115952.30769230769</v>
      </c>
    </row>
    <row r="151" spans="1:13" ht="18">
      <c r="A151" s="189"/>
      <c r="B151" s="189"/>
      <c r="C151" s="183"/>
      <c r="D151" s="190">
        <v>2.39</v>
      </c>
      <c r="E151" s="191">
        <f>D151*LTT</f>
        <v>2509500</v>
      </c>
      <c r="F151" s="180">
        <f>$F$10</f>
        <v>210000</v>
      </c>
      <c r="G151" s="168">
        <f>E151*luongphu</f>
        <v>301140</v>
      </c>
      <c r="H151" s="168">
        <f>E151*khoantructiep</f>
        <v>100380</v>
      </c>
      <c r="I151" s="168">
        <f>E151*KhongOndinhSX</f>
        <v>250950</v>
      </c>
      <c r="J151" s="168">
        <f>E151*thuhut</f>
        <v>0</v>
      </c>
      <c r="K151" s="168"/>
      <c r="L151" s="168"/>
      <c r="M151" s="168">
        <f>SUM(E151:L151)/26</f>
        <v>129691.15384615384</v>
      </c>
    </row>
    <row r="152" spans="1:13" ht="18">
      <c r="A152" s="189"/>
      <c r="B152" s="189"/>
      <c r="C152" s="183"/>
      <c r="D152" s="190">
        <v>2.76</v>
      </c>
      <c r="E152" s="191">
        <f>D152*LTT</f>
        <v>2898000</v>
      </c>
      <c r="F152" s="180">
        <f>$F$10</f>
        <v>210000</v>
      </c>
      <c r="G152" s="168">
        <f>E152*luongphu</f>
        <v>347760</v>
      </c>
      <c r="H152" s="168">
        <f>E152*khoantructiep</f>
        <v>115920</v>
      </c>
      <c r="I152" s="168">
        <f>E152*KhongOndinhSX</f>
        <v>289800</v>
      </c>
      <c r="J152" s="168">
        <f>E152*thuhut</f>
        <v>0</v>
      </c>
      <c r="K152" s="168"/>
      <c r="L152" s="168"/>
      <c r="M152" s="168">
        <f>SUM(E152:L152)/26</f>
        <v>148518.46153846153</v>
      </c>
    </row>
    <row r="153" spans="1:13" ht="18">
      <c r="A153" s="189"/>
      <c r="B153" s="189"/>
      <c r="C153" s="183"/>
      <c r="D153" s="190">
        <v>3.11</v>
      </c>
      <c r="E153" s="191">
        <f>D153*LTT</f>
        <v>3265500</v>
      </c>
      <c r="F153" s="180">
        <f>$F$10</f>
        <v>210000</v>
      </c>
      <c r="G153" s="168">
        <f>E153*luongphu</f>
        <v>391860</v>
      </c>
      <c r="H153" s="168">
        <f>E153*khoantructiep</f>
        <v>130620</v>
      </c>
      <c r="I153" s="168">
        <f>E153*KhongOndinhSX</f>
        <v>326550</v>
      </c>
      <c r="J153" s="168">
        <f>E153*thuhut</f>
        <v>0</v>
      </c>
      <c r="K153" s="168"/>
      <c r="L153" s="168"/>
      <c r="M153" s="168">
        <f>SUM(E153:L153)/26</f>
        <v>166328.07692307694</v>
      </c>
    </row>
    <row r="154" spans="1:13" ht="18">
      <c r="A154" s="173" t="s">
        <v>2694</v>
      </c>
      <c r="B154" s="173"/>
      <c r="C154" s="170"/>
      <c r="D154" s="170"/>
      <c r="E154" s="172"/>
      <c r="F154" s="172"/>
      <c r="G154" s="172"/>
      <c r="H154" s="172"/>
      <c r="I154" s="172"/>
      <c r="J154" s="172"/>
      <c r="K154" s="172"/>
      <c r="L154" s="172"/>
      <c r="M154" s="168"/>
    </row>
    <row r="155" spans="1:13" ht="18">
      <c r="A155" s="173" t="s">
        <v>2692</v>
      </c>
      <c r="B155" s="173"/>
      <c r="C155" s="170"/>
      <c r="D155" s="170"/>
      <c r="E155" s="172"/>
      <c r="F155" s="172"/>
      <c r="G155" s="172"/>
      <c r="H155" s="172"/>
      <c r="I155" s="172"/>
      <c r="J155" s="172"/>
      <c r="K155" s="172"/>
      <c r="L155" s="172"/>
      <c r="M155" s="168"/>
    </row>
    <row r="156" spans="1:13" ht="18">
      <c r="A156" s="189"/>
      <c r="B156" s="189"/>
      <c r="C156" s="183"/>
      <c r="D156" s="190">
        <v>2.05</v>
      </c>
      <c r="E156" s="191">
        <f>D156*LTT</f>
        <v>2152500</v>
      </c>
      <c r="F156" s="180">
        <f>$F$10</f>
        <v>210000</v>
      </c>
      <c r="G156" s="168">
        <f>E156*luongphu</f>
        <v>258300</v>
      </c>
      <c r="H156" s="168">
        <f>E156*khoantructiep</f>
        <v>86100</v>
      </c>
      <c r="I156" s="168">
        <f>E156*KhongOndinhSX</f>
        <v>215250</v>
      </c>
      <c r="J156" s="168">
        <f>E156*thuhut</f>
        <v>0</v>
      </c>
      <c r="K156" s="168"/>
      <c r="L156" s="168"/>
      <c r="M156" s="168">
        <f>SUM(E156:L156)/26</f>
        <v>112390.38461538461</v>
      </c>
    </row>
    <row r="157" spans="1:13" ht="18">
      <c r="A157" s="189"/>
      <c r="B157" s="189"/>
      <c r="C157" s="183"/>
      <c r="D157" s="190">
        <v>2.35</v>
      </c>
      <c r="E157" s="191">
        <f>D157*LTT</f>
        <v>2467500</v>
      </c>
      <c r="F157" s="180">
        <f>$F$10</f>
        <v>210000</v>
      </c>
      <c r="G157" s="168">
        <f>E157*luongphu</f>
        <v>296100</v>
      </c>
      <c r="H157" s="168">
        <f>E157*khoantructiep</f>
        <v>98700</v>
      </c>
      <c r="I157" s="168">
        <f>E157*KhongOndinhSX</f>
        <v>246750</v>
      </c>
      <c r="J157" s="168">
        <f>E157*thuhut</f>
        <v>0</v>
      </c>
      <c r="K157" s="168"/>
      <c r="L157" s="168"/>
      <c r="M157" s="168">
        <f>SUM(E157:L157)/26</f>
        <v>127655.76923076923</v>
      </c>
    </row>
    <row r="158" spans="1:13" ht="18">
      <c r="A158" s="189"/>
      <c r="B158" s="189"/>
      <c r="C158" s="183"/>
      <c r="D158" s="190">
        <v>2.66</v>
      </c>
      <c r="E158" s="191">
        <f>D158*LTT</f>
        <v>2793000</v>
      </c>
      <c r="F158" s="180">
        <f>$F$10</f>
        <v>210000</v>
      </c>
      <c r="G158" s="168">
        <f>E158*luongphu</f>
        <v>335160</v>
      </c>
      <c r="H158" s="168">
        <f>E158*khoantructiep</f>
        <v>111720</v>
      </c>
      <c r="I158" s="168">
        <f>E158*KhongOndinhSX</f>
        <v>279300</v>
      </c>
      <c r="J158" s="168">
        <f>E158*thuhut</f>
        <v>0</v>
      </c>
      <c r="K158" s="168"/>
      <c r="L158" s="168"/>
      <c r="M158" s="168">
        <f>SUM(E158:L158)/26</f>
        <v>143430</v>
      </c>
    </row>
    <row r="159" spans="1:13" ht="18">
      <c r="A159" s="189"/>
      <c r="B159" s="189"/>
      <c r="C159" s="183"/>
      <c r="D159" s="190">
        <v>2.99</v>
      </c>
      <c r="E159" s="191">
        <f>D159*LTT</f>
        <v>3139500</v>
      </c>
      <c r="F159" s="180">
        <f>$F$10</f>
        <v>210000</v>
      </c>
      <c r="G159" s="168">
        <f>E159*luongphu</f>
        <v>376740</v>
      </c>
      <c r="H159" s="168">
        <f>E159*khoantructiep</f>
        <v>125580</v>
      </c>
      <c r="I159" s="168">
        <f>E159*KhongOndinhSX</f>
        <v>313950</v>
      </c>
      <c r="J159" s="168">
        <f>E159*thuhut</f>
        <v>0</v>
      </c>
      <c r="K159" s="168"/>
      <c r="L159" s="168"/>
      <c r="M159" s="168">
        <f>SUM(E159:L159)/26</f>
        <v>160221.92307692306</v>
      </c>
    </row>
    <row r="160" spans="1:13" ht="18">
      <c r="A160" s="173" t="s">
        <v>2693</v>
      </c>
      <c r="B160" s="173"/>
      <c r="C160" s="170"/>
      <c r="D160" s="170"/>
      <c r="E160" s="172"/>
      <c r="F160" s="172"/>
      <c r="G160" s="172"/>
      <c r="H160" s="172"/>
      <c r="I160" s="172"/>
      <c r="J160" s="172"/>
      <c r="K160" s="172"/>
      <c r="L160" s="172"/>
      <c r="M160" s="168"/>
    </row>
    <row r="161" spans="1:13" ht="18">
      <c r="A161" s="189"/>
      <c r="B161" s="189"/>
      <c r="C161" s="183"/>
      <c r="D161" s="190">
        <v>2.25</v>
      </c>
      <c r="E161" s="191">
        <f>D161*LTT</f>
        <v>2362500</v>
      </c>
      <c r="F161" s="180">
        <f>$F$10</f>
        <v>210000</v>
      </c>
      <c r="G161" s="168">
        <f>E161*luongphu</f>
        <v>283500</v>
      </c>
      <c r="H161" s="168">
        <f>E161*khoantructiep</f>
        <v>94500</v>
      </c>
      <c r="I161" s="168">
        <f>E161*KhongOndinhSX</f>
        <v>236250</v>
      </c>
      <c r="J161" s="168">
        <f>E161*thuhut</f>
        <v>0</v>
      </c>
      <c r="K161" s="168"/>
      <c r="L161" s="168"/>
      <c r="M161" s="168">
        <f>SUM(E161:L161)/26</f>
        <v>122567.30769230769</v>
      </c>
    </row>
    <row r="162" spans="1:13" ht="18">
      <c r="A162" s="189"/>
      <c r="B162" s="189"/>
      <c r="C162" s="183"/>
      <c r="D162" s="190">
        <v>2.58</v>
      </c>
      <c r="E162" s="191">
        <f>D162*LTT</f>
        <v>2709000</v>
      </c>
      <c r="F162" s="180">
        <f>$F$10</f>
        <v>210000</v>
      </c>
      <c r="G162" s="168">
        <f>E162*luongphu</f>
        <v>325080</v>
      </c>
      <c r="H162" s="168">
        <f>E162*khoantructiep</f>
        <v>108360</v>
      </c>
      <c r="I162" s="168">
        <f>E162*KhongOndinhSX</f>
        <v>270900</v>
      </c>
      <c r="J162" s="168">
        <f>E162*thuhut</f>
        <v>0</v>
      </c>
      <c r="K162" s="168"/>
      <c r="L162" s="168"/>
      <c r="M162" s="168">
        <f>SUM(E162:L162)/26</f>
        <v>139359.23076923078</v>
      </c>
    </row>
    <row r="163" spans="1:13" ht="18">
      <c r="A163" s="189"/>
      <c r="B163" s="189"/>
      <c r="C163" s="183"/>
      <c r="D163" s="190">
        <v>2.92</v>
      </c>
      <c r="E163" s="191">
        <f>D163*LTT</f>
        <v>3066000</v>
      </c>
      <c r="F163" s="180">
        <f>$F$10</f>
        <v>210000</v>
      </c>
      <c r="G163" s="168">
        <f>E163*luongphu</f>
        <v>367920</v>
      </c>
      <c r="H163" s="168">
        <f>E163*khoantructiep</f>
        <v>122640</v>
      </c>
      <c r="I163" s="168">
        <f>E163*KhongOndinhSX</f>
        <v>306600</v>
      </c>
      <c r="J163" s="168">
        <f>E163*thuhut</f>
        <v>0</v>
      </c>
      <c r="K163" s="168"/>
      <c r="L163" s="168"/>
      <c r="M163" s="168">
        <f>SUM(E163:L163)/26</f>
        <v>156660</v>
      </c>
    </row>
    <row r="164" spans="1:13" ht="18">
      <c r="A164" s="189"/>
      <c r="B164" s="189"/>
      <c r="C164" s="183"/>
      <c r="D164" s="190">
        <v>3.28</v>
      </c>
      <c r="E164" s="191">
        <f>D164*LTT</f>
        <v>3444000</v>
      </c>
      <c r="F164" s="180">
        <f>$F$10</f>
        <v>210000</v>
      </c>
      <c r="G164" s="168">
        <f>E164*luongphu</f>
        <v>413280</v>
      </c>
      <c r="H164" s="168">
        <f>E164*khoantructiep</f>
        <v>137760</v>
      </c>
      <c r="I164" s="168">
        <f>E164*KhongOndinhSX</f>
        <v>344400</v>
      </c>
      <c r="J164" s="168">
        <f>E164*thuhut</f>
        <v>0</v>
      </c>
      <c r="K164" s="168"/>
      <c r="L164" s="168"/>
      <c r="M164" s="168">
        <f>SUM(E164:L164)/26</f>
        <v>174978.46153846153</v>
      </c>
    </row>
    <row r="165" spans="1:13" ht="18">
      <c r="A165" s="173" t="s">
        <v>2695</v>
      </c>
      <c r="B165" s="173"/>
      <c r="C165" s="170"/>
      <c r="D165" s="170"/>
      <c r="E165" s="172"/>
      <c r="F165" s="172"/>
      <c r="G165" s="172"/>
      <c r="H165" s="172"/>
      <c r="I165" s="172"/>
      <c r="J165" s="172"/>
      <c r="K165" s="172"/>
      <c r="L165" s="172"/>
      <c r="M165" s="168"/>
    </row>
    <row r="166" spans="1:13" ht="18">
      <c r="A166" s="189"/>
      <c r="B166" s="189"/>
      <c r="C166" s="183"/>
      <c r="D166" s="190">
        <v>1.55</v>
      </c>
      <c r="E166" s="191">
        <f>D166*LTT</f>
        <v>1627500</v>
      </c>
      <c r="F166" s="180">
        <f>$F$10</f>
        <v>210000</v>
      </c>
      <c r="G166" s="168">
        <f>E166*luongphu</f>
        <v>195300</v>
      </c>
      <c r="H166" s="168">
        <f>E166*khoantructiep</f>
        <v>65100</v>
      </c>
      <c r="I166" s="168">
        <f>E166*KhongOndinhSX</f>
        <v>162750</v>
      </c>
      <c r="J166" s="168">
        <f>E166*thuhut</f>
        <v>0</v>
      </c>
      <c r="K166" s="168"/>
      <c r="L166" s="168"/>
      <c r="M166" s="168">
        <f>SUM(E166:L166)/26</f>
        <v>86948.07692307692</v>
      </c>
    </row>
    <row r="167" spans="1:13" ht="18">
      <c r="A167" s="189"/>
      <c r="B167" s="189"/>
      <c r="C167" s="183"/>
      <c r="D167" s="190">
        <v>1.75</v>
      </c>
      <c r="E167" s="191">
        <f>D167*LTT</f>
        <v>1837500</v>
      </c>
      <c r="F167" s="180">
        <f>$F$10</f>
        <v>210000</v>
      </c>
      <c r="G167" s="168">
        <f>E167*luongphu</f>
        <v>220500</v>
      </c>
      <c r="H167" s="168">
        <f>E167*khoantructiep</f>
        <v>73500</v>
      </c>
      <c r="I167" s="168">
        <f>E167*KhongOndinhSX</f>
        <v>183750</v>
      </c>
      <c r="J167" s="168">
        <f>E167*thuhut</f>
        <v>0</v>
      </c>
      <c r="K167" s="168"/>
      <c r="L167" s="168"/>
      <c r="M167" s="168">
        <f>SUM(E167:L167)/26</f>
        <v>97125</v>
      </c>
    </row>
    <row r="168" spans="1:13" ht="18">
      <c r="A168" s="189"/>
      <c r="B168" s="189"/>
      <c r="C168" s="183"/>
      <c r="D168" s="190">
        <v>2.05</v>
      </c>
      <c r="E168" s="191">
        <f>D168*LTT</f>
        <v>2152500</v>
      </c>
      <c r="F168" s="180">
        <f>$F$10</f>
        <v>210000</v>
      </c>
      <c r="G168" s="168">
        <f>E168*luongphu</f>
        <v>258300</v>
      </c>
      <c r="H168" s="168">
        <f>E168*khoantructiep</f>
        <v>86100</v>
      </c>
      <c r="I168" s="168">
        <f>E168*KhongOndinhSX</f>
        <v>215250</v>
      </c>
      <c r="J168" s="168">
        <f>E168*thuhut</f>
        <v>0</v>
      </c>
      <c r="K168" s="168"/>
      <c r="L168" s="168"/>
      <c r="M168" s="168">
        <f>SUM(E168:L168)/26</f>
        <v>112390.38461538461</v>
      </c>
    </row>
    <row r="169" spans="1:13" ht="18">
      <c r="A169" s="189"/>
      <c r="B169" s="189"/>
      <c r="C169" s="183"/>
      <c r="D169" s="190">
        <v>2.35</v>
      </c>
      <c r="E169" s="191">
        <f>D169*LTT</f>
        <v>2467500</v>
      </c>
      <c r="F169" s="180">
        <f>$F$10</f>
        <v>210000</v>
      </c>
      <c r="G169" s="168">
        <f>E169*luongphu</f>
        <v>296100</v>
      </c>
      <c r="H169" s="168">
        <f>E169*khoantructiep</f>
        <v>98700</v>
      </c>
      <c r="I169" s="168">
        <f>E169*KhongOndinhSX</f>
        <v>246750</v>
      </c>
      <c r="J169" s="168">
        <f>E169*thuhut</f>
        <v>0</v>
      </c>
      <c r="K169" s="168"/>
      <c r="L169" s="168"/>
      <c r="M169" s="168">
        <f>SUM(E169:L169)/26</f>
        <v>127655.76923076923</v>
      </c>
    </row>
    <row r="170" spans="1:13" ht="18">
      <c r="A170" s="170"/>
      <c r="B170" s="170"/>
      <c r="C170" s="170"/>
      <c r="D170" s="170"/>
      <c r="E170" s="172"/>
      <c r="F170" s="172"/>
      <c r="G170" s="172"/>
      <c r="H170" s="172"/>
      <c r="I170" s="172"/>
      <c r="J170" s="172"/>
      <c r="K170" s="172"/>
      <c r="L170" s="172"/>
      <c r="M170" s="172"/>
    </row>
    <row r="171" spans="1:13" ht="18">
      <c r="A171" s="187" t="s">
        <v>1699</v>
      </c>
      <c r="B171" s="187"/>
      <c r="C171" s="170"/>
      <c r="D171" s="170"/>
      <c r="E171" s="171"/>
      <c r="F171" s="171"/>
      <c r="G171" s="171"/>
      <c r="H171" s="172"/>
      <c r="I171" s="172"/>
      <c r="J171" s="172"/>
      <c r="K171" s="172"/>
      <c r="L171" s="172"/>
      <c r="M171" s="172"/>
    </row>
    <row r="172" spans="1:13" ht="18">
      <c r="A172" s="170" t="s">
        <v>2712</v>
      </c>
      <c r="B172" s="170"/>
      <c r="C172" s="170"/>
      <c r="D172" s="170"/>
      <c r="E172" s="172"/>
      <c r="F172" s="172"/>
      <c r="G172" s="172"/>
      <c r="H172" s="172"/>
      <c r="I172" s="172"/>
      <c r="J172" s="172"/>
      <c r="K172" s="172"/>
      <c r="L172" s="172"/>
      <c r="M172" s="172"/>
    </row>
    <row r="173" spans="1:13" ht="18">
      <c r="A173" s="170" t="s">
        <v>2713</v>
      </c>
      <c r="B173" s="170"/>
      <c r="C173" s="170"/>
      <c r="D173" s="170"/>
      <c r="E173" s="172"/>
      <c r="F173" s="172"/>
      <c r="G173" s="172"/>
      <c r="H173" s="172"/>
      <c r="I173" s="172"/>
      <c r="J173" s="172"/>
      <c r="K173" s="172"/>
      <c r="L173" s="172"/>
      <c r="M173" s="172"/>
    </row>
    <row r="174" spans="1:13" ht="18">
      <c r="A174" s="170" t="s">
        <v>2714</v>
      </c>
      <c r="B174" s="170"/>
      <c r="C174" s="170"/>
      <c r="D174" s="170"/>
      <c r="E174" s="172"/>
      <c r="F174" s="172"/>
      <c r="G174" s="172"/>
      <c r="H174" s="172"/>
      <c r="I174" s="172"/>
      <c r="J174" s="172"/>
      <c r="K174" s="172"/>
      <c r="L174" s="172"/>
      <c r="M174" s="172"/>
    </row>
    <row r="175" spans="1:13" ht="18">
      <c r="A175" s="169" t="s">
        <v>2715</v>
      </c>
      <c r="B175" s="169"/>
      <c r="C175" s="192"/>
      <c r="D175" s="192"/>
      <c r="E175" s="193"/>
      <c r="F175" s="193"/>
      <c r="G175" s="193"/>
      <c r="H175" s="193"/>
      <c r="I175" s="193"/>
      <c r="J175" s="193"/>
      <c r="K175" s="193"/>
      <c r="L175" s="193"/>
      <c r="M175" s="193"/>
    </row>
    <row r="176" spans="1:13" ht="18">
      <c r="A176" s="169" t="s">
        <v>2716</v>
      </c>
      <c r="B176" s="169"/>
      <c r="C176" s="192"/>
      <c r="D176" s="192"/>
      <c r="E176" s="193"/>
      <c r="F176" s="193"/>
      <c r="G176" s="193"/>
      <c r="H176" s="193"/>
      <c r="I176" s="193"/>
      <c r="J176" s="193"/>
      <c r="K176" s="193"/>
      <c r="L176" s="193"/>
      <c r="M176" s="193"/>
    </row>
    <row r="177" spans="1:13" ht="18">
      <c r="A177" s="173" t="s">
        <v>2717</v>
      </c>
      <c r="B177" s="173"/>
      <c r="C177" s="186"/>
      <c r="D177" s="186"/>
      <c r="E177" s="171"/>
      <c r="F177" s="171"/>
      <c r="G177" s="171"/>
      <c r="H177" s="171"/>
      <c r="I177" s="171"/>
      <c r="J177" s="171"/>
      <c r="K177" s="171"/>
      <c r="L177" s="171"/>
      <c r="M177" s="171"/>
    </row>
    <row r="178" spans="1:13" ht="18">
      <c r="A178" s="173" t="s">
        <v>2718</v>
      </c>
      <c r="B178" s="173"/>
      <c r="C178" s="170"/>
      <c r="D178" s="170"/>
      <c r="E178" s="172"/>
      <c r="F178" s="172"/>
      <c r="G178" s="172"/>
      <c r="H178" s="172"/>
      <c r="I178" s="172"/>
      <c r="J178" s="172"/>
      <c r="K178" s="172"/>
      <c r="L178" s="172"/>
      <c r="M178" s="172"/>
    </row>
    <row r="179" spans="1:13" ht="18">
      <c r="A179" s="173" t="s">
        <v>2719</v>
      </c>
      <c r="B179" s="173"/>
      <c r="C179" s="170"/>
      <c r="D179" s="170"/>
      <c r="E179" s="172"/>
      <c r="F179" s="172"/>
      <c r="G179" s="172"/>
      <c r="H179" s="172"/>
      <c r="I179" s="172"/>
      <c r="J179" s="172"/>
      <c r="K179" s="172"/>
      <c r="L179" s="172"/>
      <c r="M179" s="172"/>
    </row>
    <row r="180" spans="1:13" ht="18">
      <c r="A180" s="189"/>
      <c r="B180" s="189"/>
      <c r="C180" s="194" t="s">
        <v>555</v>
      </c>
      <c r="D180" s="195">
        <v>2.81</v>
      </c>
      <c r="E180" s="172">
        <f aca="true" t="shared" si="21" ref="E180:E187">D180*LTT</f>
        <v>2950500</v>
      </c>
      <c r="F180" s="180">
        <f aca="true" t="shared" si="22" ref="F180:F187">$F$10</f>
        <v>210000</v>
      </c>
      <c r="G180" s="168">
        <f aca="true" t="shared" si="23" ref="G180:G187">E180*luongphu</f>
        <v>354060</v>
      </c>
      <c r="H180" s="168">
        <f aca="true" t="shared" si="24" ref="H180:H187">E180*khoantructiep</f>
        <v>118020</v>
      </c>
      <c r="I180" s="168">
        <f aca="true" t="shared" si="25" ref="I180:I187">E180*KhongOndinhSX</f>
        <v>295050</v>
      </c>
      <c r="J180" s="168">
        <f aca="true" t="shared" si="26" ref="J180:J187">E180*thuhut</f>
        <v>0</v>
      </c>
      <c r="K180" s="168"/>
      <c r="L180" s="168"/>
      <c r="M180" s="168">
        <f>SUM(E180:L180)/26</f>
        <v>151062.6923076923</v>
      </c>
    </row>
    <row r="181" spans="1:13" ht="18.75" customHeight="1">
      <c r="A181" s="189"/>
      <c r="B181" s="189"/>
      <c r="C181" s="194"/>
      <c r="D181" s="195">
        <v>2.99</v>
      </c>
      <c r="E181" s="172">
        <f t="shared" si="21"/>
        <v>3139500</v>
      </c>
      <c r="F181" s="180">
        <f t="shared" si="22"/>
        <v>210000</v>
      </c>
      <c r="G181" s="168">
        <f t="shared" si="23"/>
        <v>376740</v>
      </c>
      <c r="H181" s="168">
        <f t="shared" si="24"/>
        <v>125580</v>
      </c>
      <c r="I181" s="168">
        <f t="shared" si="25"/>
        <v>313950</v>
      </c>
      <c r="J181" s="168">
        <f t="shared" si="26"/>
        <v>0</v>
      </c>
      <c r="K181" s="168"/>
      <c r="L181" s="168"/>
      <c r="M181" s="168">
        <f aca="true" t="shared" si="27" ref="M181:M196">SUM(E181:L181)/26</f>
        <v>160221.92307692306</v>
      </c>
    </row>
    <row r="182" spans="1:13" ht="27" customHeight="1">
      <c r="A182" s="189"/>
      <c r="B182" s="189"/>
      <c r="C182" s="194" t="s">
        <v>569</v>
      </c>
      <c r="D182" s="195">
        <v>3.73</v>
      </c>
      <c r="E182" s="172">
        <f t="shared" si="21"/>
        <v>3916500</v>
      </c>
      <c r="F182" s="180">
        <f t="shared" si="22"/>
        <v>210000</v>
      </c>
      <c r="G182" s="168">
        <f t="shared" si="23"/>
        <v>469980</v>
      </c>
      <c r="H182" s="168">
        <f t="shared" si="24"/>
        <v>156660</v>
      </c>
      <c r="I182" s="168">
        <f t="shared" si="25"/>
        <v>391650</v>
      </c>
      <c r="J182" s="168">
        <f t="shared" si="26"/>
        <v>0</v>
      </c>
      <c r="K182" s="168"/>
      <c r="L182" s="168"/>
      <c r="M182" s="168">
        <f t="shared" si="27"/>
        <v>197876.53846153847</v>
      </c>
    </row>
    <row r="183" spans="1:13" ht="18">
      <c r="A183" s="189"/>
      <c r="B183" s="189"/>
      <c r="C183" s="194"/>
      <c r="D183" s="195">
        <v>3.91</v>
      </c>
      <c r="E183" s="172">
        <f t="shared" si="21"/>
        <v>4105500</v>
      </c>
      <c r="F183" s="180">
        <f t="shared" si="22"/>
        <v>210000</v>
      </c>
      <c r="G183" s="168">
        <f t="shared" si="23"/>
        <v>492660</v>
      </c>
      <c r="H183" s="168">
        <f t="shared" si="24"/>
        <v>164220</v>
      </c>
      <c r="I183" s="168">
        <f t="shared" si="25"/>
        <v>410550</v>
      </c>
      <c r="J183" s="168">
        <f t="shared" si="26"/>
        <v>0</v>
      </c>
      <c r="K183" s="168"/>
      <c r="L183" s="168"/>
      <c r="M183" s="168">
        <f t="shared" si="27"/>
        <v>207035.76923076922</v>
      </c>
    </row>
    <row r="184" spans="1:13" ht="18">
      <c r="A184" s="189"/>
      <c r="B184" s="189"/>
      <c r="C184" s="194" t="s">
        <v>571</v>
      </c>
      <c r="D184" s="195">
        <v>4.14</v>
      </c>
      <c r="E184" s="172">
        <f t="shared" si="21"/>
        <v>4347000</v>
      </c>
      <c r="F184" s="180">
        <f t="shared" si="22"/>
        <v>210000</v>
      </c>
      <c r="G184" s="168">
        <f t="shared" si="23"/>
        <v>521640</v>
      </c>
      <c r="H184" s="168">
        <f t="shared" si="24"/>
        <v>173880</v>
      </c>
      <c r="I184" s="168">
        <f t="shared" si="25"/>
        <v>434700</v>
      </c>
      <c r="J184" s="168">
        <f t="shared" si="26"/>
        <v>0</v>
      </c>
      <c r="K184" s="168"/>
      <c r="L184" s="168"/>
      <c r="M184" s="168">
        <f t="shared" si="27"/>
        <v>218739.23076923078</v>
      </c>
    </row>
    <row r="185" spans="1:13" ht="18">
      <c r="A185" s="189"/>
      <c r="B185" s="189"/>
      <c r="C185" s="194"/>
      <c r="D185" s="195">
        <v>4.36</v>
      </c>
      <c r="E185" s="172">
        <f t="shared" si="21"/>
        <v>4578000</v>
      </c>
      <c r="F185" s="180">
        <f t="shared" si="22"/>
        <v>210000</v>
      </c>
      <c r="G185" s="168">
        <f t="shared" si="23"/>
        <v>549360</v>
      </c>
      <c r="H185" s="168">
        <f t="shared" si="24"/>
        <v>183120</v>
      </c>
      <c r="I185" s="168">
        <f t="shared" si="25"/>
        <v>457800</v>
      </c>
      <c r="J185" s="168">
        <f t="shared" si="26"/>
        <v>0</v>
      </c>
      <c r="K185" s="168"/>
      <c r="L185" s="168"/>
      <c r="M185" s="168">
        <f t="shared" si="27"/>
        <v>229933.84615384616</v>
      </c>
    </row>
    <row r="186" spans="1:13" ht="18">
      <c r="A186" s="189"/>
      <c r="B186" s="189"/>
      <c r="C186" s="194" t="s">
        <v>2720</v>
      </c>
      <c r="D186" s="195">
        <v>4.68</v>
      </c>
      <c r="E186" s="172">
        <f t="shared" si="21"/>
        <v>4914000</v>
      </c>
      <c r="F186" s="180">
        <f t="shared" si="22"/>
        <v>210000</v>
      </c>
      <c r="G186" s="168">
        <f t="shared" si="23"/>
        <v>589680</v>
      </c>
      <c r="H186" s="168">
        <f t="shared" si="24"/>
        <v>196560</v>
      </c>
      <c r="I186" s="168">
        <f t="shared" si="25"/>
        <v>491400</v>
      </c>
      <c r="J186" s="168">
        <f t="shared" si="26"/>
        <v>0</v>
      </c>
      <c r="K186" s="168"/>
      <c r="L186" s="168"/>
      <c r="M186" s="168">
        <f t="shared" si="27"/>
        <v>246216.92307692306</v>
      </c>
    </row>
    <row r="187" spans="1:13" ht="18">
      <c r="A187" s="189"/>
      <c r="B187" s="189"/>
      <c r="C187" s="194"/>
      <c r="D187" s="195">
        <v>4.92</v>
      </c>
      <c r="E187" s="172">
        <f t="shared" si="21"/>
        <v>5166000</v>
      </c>
      <c r="F187" s="180">
        <f t="shared" si="22"/>
        <v>210000</v>
      </c>
      <c r="G187" s="168">
        <f t="shared" si="23"/>
        <v>619920</v>
      </c>
      <c r="H187" s="168">
        <f t="shared" si="24"/>
        <v>206640</v>
      </c>
      <c r="I187" s="168">
        <f t="shared" si="25"/>
        <v>516600</v>
      </c>
      <c r="J187" s="168">
        <f t="shared" si="26"/>
        <v>0</v>
      </c>
      <c r="K187" s="168"/>
      <c r="L187" s="168"/>
      <c r="M187" s="168">
        <f t="shared" si="27"/>
        <v>258429.23076923078</v>
      </c>
    </row>
    <row r="188" spans="1:13" ht="18">
      <c r="A188" s="173" t="s">
        <v>2721</v>
      </c>
      <c r="B188" s="173"/>
      <c r="C188" s="170"/>
      <c r="D188" s="170"/>
      <c r="E188" s="172"/>
      <c r="F188" s="172"/>
      <c r="G188" s="172"/>
      <c r="H188" s="172"/>
      <c r="I188" s="172"/>
      <c r="J188" s="172"/>
      <c r="K188" s="172"/>
      <c r="L188" s="172"/>
      <c r="M188" s="172"/>
    </row>
    <row r="189" spans="1:13" ht="18">
      <c r="A189" s="189"/>
      <c r="B189" s="189"/>
      <c r="C189" s="194" t="s">
        <v>555</v>
      </c>
      <c r="D189" s="195">
        <v>2.51</v>
      </c>
      <c r="E189" s="172">
        <f aca="true" t="shared" si="28" ref="E189:E196">D189*LTT</f>
        <v>2635500</v>
      </c>
      <c r="F189" s="180">
        <f aca="true" t="shared" si="29" ref="F189:F196">$F$10</f>
        <v>210000</v>
      </c>
      <c r="G189" s="168">
        <f aca="true" t="shared" si="30" ref="G189:G196">E189*luongphu</f>
        <v>316260</v>
      </c>
      <c r="H189" s="168">
        <f aca="true" t="shared" si="31" ref="H189:H196">E189*khoantructiep</f>
        <v>105420</v>
      </c>
      <c r="I189" s="168">
        <f aca="true" t="shared" si="32" ref="I189:I196">E189*KhongOndinhSX</f>
        <v>263550</v>
      </c>
      <c r="J189" s="168">
        <f aca="true" t="shared" si="33" ref="J189:J196">E189*thuhut</f>
        <v>0</v>
      </c>
      <c r="K189" s="168"/>
      <c r="L189" s="168"/>
      <c r="M189" s="168">
        <f t="shared" si="27"/>
        <v>135797.3076923077</v>
      </c>
    </row>
    <row r="190" spans="1:13" ht="18">
      <c r="A190" s="189"/>
      <c r="B190" s="189"/>
      <c r="C190" s="194"/>
      <c r="D190" s="195">
        <v>2.66</v>
      </c>
      <c r="E190" s="172">
        <f t="shared" si="28"/>
        <v>2793000</v>
      </c>
      <c r="F190" s="180">
        <f t="shared" si="29"/>
        <v>210000</v>
      </c>
      <c r="G190" s="168">
        <f t="shared" si="30"/>
        <v>335160</v>
      </c>
      <c r="H190" s="168">
        <f t="shared" si="31"/>
        <v>111720</v>
      </c>
      <c r="I190" s="168">
        <f t="shared" si="32"/>
        <v>279300</v>
      </c>
      <c r="J190" s="168">
        <f t="shared" si="33"/>
        <v>0</v>
      </c>
      <c r="K190" s="168"/>
      <c r="L190" s="168"/>
      <c r="M190" s="168">
        <f t="shared" si="27"/>
        <v>143430</v>
      </c>
    </row>
    <row r="191" spans="1:13" ht="18">
      <c r="A191" s="189"/>
      <c r="B191" s="189"/>
      <c r="C191" s="194" t="s">
        <v>569</v>
      </c>
      <c r="D191" s="195">
        <v>3.17</v>
      </c>
      <c r="E191" s="172">
        <f t="shared" si="28"/>
        <v>3328500</v>
      </c>
      <c r="F191" s="180">
        <f t="shared" si="29"/>
        <v>210000</v>
      </c>
      <c r="G191" s="168">
        <f t="shared" si="30"/>
        <v>399420</v>
      </c>
      <c r="H191" s="168">
        <f t="shared" si="31"/>
        <v>133140</v>
      </c>
      <c r="I191" s="168">
        <f t="shared" si="32"/>
        <v>332850</v>
      </c>
      <c r="J191" s="168">
        <f t="shared" si="33"/>
        <v>0</v>
      </c>
      <c r="K191" s="168"/>
      <c r="L191" s="168"/>
      <c r="M191" s="168">
        <f t="shared" si="27"/>
        <v>169381.15384615384</v>
      </c>
    </row>
    <row r="192" spans="1:13" ht="18">
      <c r="A192" s="189"/>
      <c r="B192" s="189"/>
      <c r="C192" s="194"/>
      <c r="D192" s="195">
        <v>3.3</v>
      </c>
      <c r="E192" s="172">
        <f t="shared" si="28"/>
        <v>3465000</v>
      </c>
      <c r="F192" s="180">
        <f t="shared" si="29"/>
        <v>210000</v>
      </c>
      <c r="G192" s="168">
        <f t="shared" si="30"/>
        <v>415800</v>
      </c>
      <c r="H192" s="168">
        <f t="shared" si="31"/>
        <v>138600</v>
      </c>
      <c r="I192" s="168">
        <f t="shared" si="32"/>
        <v>346500</v>
      </c>
      <c r="J192" s="168">
        <f t="shared" si="33"/>
        <v>0</v>
      </c>
      <c r="K192" s="168"/>
      <c r="L192" s="168"/>
      <c r="M192" s="168">
        <f t="shared" si="27"/>
        <v>175996.15384615384</v>
      </c>
    </row>
    <row r="193" spans="1:13" ht="18">
      <c r="A193" s="189"/>
      <c r="B193" s="189"/>
      <c r="C193" s="194" t="s">
        <v>571</v>
      </c>
      <c r="D193" s="195">
        <v>3.55</v>
      </c>
      <c r="E193" s="172">
        <f t="shared" si="28"/>
        <v>3727500</v>
      </c>
      <c r="F193" s="180">
        <f t="shared" si="29"/>
        <v>210000</v>
      </c>
      <c r="G193" s="168">
        <f t="shared" si="30"/>
        <v>447300</v>
      </c>
      <c r="H193" s="168">
        <f t="shared" si="31"/>
        <v>149100</v>
      </c>
      <c r="I193" s="168">
        <f t="shared" si="32"/>
        <v>372750</v>
      </c>
      <c r="J193" s="168">
        <f t="shared" si="33"/>
        <v>0</v>
      </c>
      <c r="K193" s="168"/>
      <c r="L193" s="168"/>
      <c r="M193" s="168">
        <f t="shared" si="27"/>
        <v>188717.3076923077</v>
      </c>
    </row>
    <row r="194" spans="1:13" ht="18">
      <c r="A194" s="189"/>
      <c r="B194" s="189"/>
      <c r="C194" s="194"/>
      <c r="D194" s="195">
        <v>3.76</v>
      </c>
      <c r="E194" s="172">
        <f t="shared" si="28"/>
        <v>3948000</v>
      </c>
      <c r="F194" s="180">
        <f t="shared" si="29"/>
        <v>210000</v>
      </c>
      <c r="G194" s="168">
        <f t="shared" si="30"/>
        <v>473760</v>
      </c>
      <c r="H194" s="168">
        <f t="shared" si="31"/>
        <v>157920</v>
      </c>
      <c r="I194" s="168">
        <f t="shared" si="32"/>
        <v>394800</v>
      </c>
      <c r="J194" s="168">
        <f t="shared" si="33"/>
        <v>0</v>
      </c>
      <c r="K194" s="168"/>
      <c r="L194" s="168"/>
      <c r="M194" s="168">
        <f t="shared" si="27"/>
        <v>199403.07692307694</v>
      </c>
    </row>
    <row r="195" spans="1:13" ht="18">
      <c r="A195" s="189"/>
      <c r="B195" s="189"/>
      <c r="C195" s="194" t="s">
        <v>2720</v>
      </c>
      <c r="D195" s="195">
        <v>4.16</v>
      </c>
      <c r="E195" s="172">
        <f t="shared" si="28"/>
        <v>4368000</v>
      </c>
      <c r="F195" s="180">
        <f t="shared" si="29"/>
        <v>210000</v>
      </c>
      <c r="G195" s="168">
        <f t="shared" si="30"/>
        <v>524160</v>
      </c>
      <c r="H195" s="168">
        <f t="shared" si="31"/>
        <v>174720</v>
      </c>
      <c r="I195" s="168">
        <f t="shared" si="32"/>
        <v>436800</v>
      </c>
      <c r="J195" s="168">
        <f t="shared" si="33"/>
        <v>0</v>
      </c>
      <c r="K195" s="168"/>
      <c r="L195" s="168"/>
      <c r="M195" s="168">
        <f t="shared" si="27"/>
        <v>219756.92307692306</v>
      </c>
    </row>
    <row r="196" spans="1:13" ht="18">
      <c r="A196" s="189"/>
      <c r="B196" s="189"/>
      <c r="C196" s="194"/>
      <c r="D196" s="195">
        <v>4.37</v>
      </c>
      <c r="E196" s="172">
        <f t="shared" si="28"/>
        <v>4588500</v>
      </c>
      <c r="F196" s="180">
        <f t="shared" si="29"/>
        <v>210000</v>
      </c>
      <c r="G196" s="168">
        <f t="shared" si="30"/>
        <v>550620</v>
      </c>
      <c r="H196" s="168">
        <f t="shared" si="31"/>
        <v>183540</v>
      </c>
      <c r="I196" s="168">
        <f t="shared" si="32"/>
        <v>458850</v>
      </c>
      <c r="J196" s="168">
        <f t="shared" si="33"/>
        <v>0</v>
      </c>
      <c r="K196" s="168"/>
      <c r="L196" s="168"/>
      <c r="M196" s="168">
        <f t="shared" si="27"/>
        <v>230442.6923076923</v>
      </c>
    </row>
    <row r="197" spans="1:13" ht="18">
      <c r="A197" s="173" t="s">
        <v>2722</v>
      </c>
      <c r="B197" s="173"/>
      <c r="C197" s="170"/>
      <c r="D197" s="170"/>
      <c r="E197" s="172"/>
      <c r="F197" s="172"/>
      <c r="G197" s="172"/>
      <c r="H197" s="172"/>
      <c r="I197" s="172"/>
      <c r="J197" s="172"/>
      <c r="K197" s="172"/>
      <c r="L197" s="172"/>
      <c r="M197" s="172"/>
    </row>
    <row r="198" spans="1:13" ht="18">
      <c r="A198" s="189"/>
      <c r="B198" s="189"/>
      <c r="C198" s="194" t="s">
        <v>555</v>
      </c>
      <c r="D198" s="195"/>
      <c r="E198" s="171"/>
      <c r="F198" s="172"/>
      <c r="G198" s="172"/>
      <c r="H198" s="172"/>
      <c r="I198" s="172"/>
      <c r="J198" s="172"/>
      <c r="K198" s="172"/>
      <c r="L198" s="172"/>
      <c r="M198" s="172"/>
    </row>
    <row r="199" spans="1:13" ht="18">
      <c r="A199" s="189"/>
      <c r="B199" s="189"/>
      <c r="C199" s="194"/>
      <c r="D199" s="195"/>
      <c r="E199" s="171"/>
      <c r="F199" s="172"/>
      <c r="G199" s="172"/>
      <c r="H199" s="172"/>
      <c r="I199" s="172"/>
      <c r="J199" s="172"/>
      <c r="K199" s="172"/>
      <c r="L199" s="172"/>
      <c r="M199" s="172"/>
    </row>
    <row r="200" spans="1:13" ht="18">
      <c r="A200" s="189"/>
      <c r="B200" s="189"/>
      <c r="C200" s="170" t="s">
        <v>569</v>
      </c>
      <c r="D200" s="195">
        <v>2.66</v>
      </c>
      <c r="E200" s="172">
        <f aca="true" t="shared" si="34" ref="E200:E205">D200*LTT</f>
        <v>2793000</v>
      </c>
      <c r="F200" s="180">
        <f aca="true" t="shared" si="35" ref="F200:F205">$F$10</f>
        <v>210000</v>
      </c>
      <c r="G200" s="168">
        <f aca="true" t="shared" si="36" ref="G200:G205">E200*luongphu</f>
        <v>335160</v>
      </c>
      <c r="H200" s="168">
        <f aca="true" t="shared" si="37" ref="H200:H205">E200*khoantructiep</f>
        <v>111720</v>
      </c>
      <c r="I200" s="168">
        <f aca="true" t="shared" si="38" ref="I200:I205">E200*KhongOndinhSX</f>
        <v>279300</v>
      </c>
      <c r="J200" s="168">
        <f aca="true" t="shared" si="39" ref="J200:J205">E200*thuhut</f>
        <v>0</v>
      </c>
      <c r="K200" s="168"/>
      <c r="L200" s="168"/>
      <c r="M200" s="168">
        <f aca="true" t="shared" si="40" ref="M200:M205">SUM(E200:L200)/26</f>
        <v>143430</v>
      </c>
    </row>
    <row r="201" spans="1:13" ht="18">
      <c r="A201" s="189"/>
      <c r="B201" s="189"/>
      <c r="C201" s="170"/>
      <c r="D201" s="195">
        <v>2.81</v>
      </c>
      <c r="E201" s="172">
        <f t="shared" si="34"/>
        <v>2950500</v>
      </c>
      <c r="F201" s="180">
        <f t="shared" si="35"/>
        <v>210000</v>
      </c>
      <c r="G201" s="168">
        <f t="shared" si="36"/>
        <v>354060</v>
      </c>
      <c r="H201" s="168">
        <f t="shared" si="37"/>
        <v>118020</v>
      </c>
      <c r="I201" s="168">
        <f t="shared" si="38"/>
        <v>295050</v>
      </c>
      <c r="J201" s="168">
        <f t="shared" si="39"/>
        <v>0</v>
      </c>
      <c r="K201" s="168"/>
      <c r="L201" s="168"/>
      <c r="M201" s="168">
        <f t="shared" si="40"/>
        <v>151062.6923076923</v>
      </c>
    </row>
    <row r="202" spans="1:13" ht="18">
      <c r="A202" s="189"/>
      <c r="B202" s="189"/>
      <c r="C202" s="170" t="s">
        <v>571</v>
      </c>
      <c r="D202" s="195">
        <v>2.93</v>
      </c>
      <c r="E202" s="172">
        <f t="shared" si="34"/>
        <v>3076500</v>
      </c>
      <c r="F202" s="180">
        <f t="shared" si="35"/>
        <v>210000</v>
      </c>
      <c r="G202" s="168">
        <f t="shared" si="36"/>
        <v>369180</v>
      </c>
      <c r="H202" s="168">
        <f t="shared" si="37"/>
        <v>123060</v>
      </c>
      <c r="I202" s="168">
        <f t="shared" si="38"/>
        <v>307650</v>
      </c>
      <c r="J202" s="168">
        <f t="shared" si="39"/>
        <v>0</v>
      </c>
      <c r="K202" s="168"/>
      <c r="L202" s="168"/>
      <c r="M202" s="168">
        <f t="shared" si="40"/>
        <v>157168.84615384616</v>
      </c>
    </row>
    <row r="203" spans="1:13" ht="18">
      <c r="A203" s="189"/>
      <c r="B203" s="189"/>
      <c r="C203" s="170"/>
      <c r="D203" s="195">
        <v>3.1</v>
      </c>
      <c r="E203" s="172">
        <f t="shared" si="34"/>
        <v>3255000</v>
      </c>
      <c r="F203" s="180">
        <f t="shared" si="35"/>
        <v>210000</v>
      </c>
      <c r="G203" s="168">
        <f t="shared" si="36"/>
        <v>390600</v>
      </c>
      <c r="H203" s="168">
        <f t="shared" si="37"/>
        <v>130200</v>
      </c>
      <c r="I203" s="168">
        <f t="shared" si="38"/>
        <v>325500</v>
      </c>
      <c r="J203" s="168">
        <f t="shared" si="39"/>
        <v>0</v>
      </c>
      <c r="K203" s="168"/>
      <c r="L203" s="168"/>
      <c r="M203" s="168">
        <f t="shared" si="40"/>
        <v>165819.23076923078</v>
      </c>
    </row>
    <row r="204" spans="1:13" ht="18">
      <c r="A204" s="189"/>
      <c r="B204" s="189"/>
      <c r="C204" s="170" t="s">
        <v>2720</v>
      </c>
      <c r="D204" s="195">
        <v>3.55</v>
      </c>
      <c r="E204" s="172">
        <f t="shared" si="34"/>
        <v>3727500</v>
      </c>
      <c r="F204" s="180">
        <f t="shared" si="35"/>
        <v>210000</v>
      </c>
      <c r="G204" s="168">
        <f t="shared" si="36"/>
        <v>447300</v>
      </c>
      <c r="H204" s="168">
        <f t="shared" si="37"/>
        <v>149100</v>
      </c>
      <c r="I204" s="168">
        <f t="shared" si="38"/>
        <v>372750</v>
      </c>
      <c r="J204" s="168">
        <f t="shared" si="39"/>
        <v>0</v>
      </c>
      <c r="K204" s="168"/>
      <c r="L204" s="168"/>
      <c r="M204" s="168">
        <f t="shared" si="40"/>
        <v>188717.3076923077</v>
      </c>
    </row>
    <row r="205" spans="1:13" ht="18">
      <c r="A205" s="189"/>
      <c r="B205" s="189"/>
      <c r="C205" s="170"/>
      <c r="D205" s="195">
        <v>3.76</v>
      </c>
      <c r="E205" s="172">
        <f t="shared" si="34"/>
        <v>3948000</v>
      </c>
      <c r="F205" s="180">
        <f t="shared" si="35"/>
        <v>210000</v>
      </c>
      <c r="G205" s="168">
        <f t="shared" si="36"/>
        <v>473760</v>
      </c>
      <c r="H205" s="168">
        <f t="shared" si="37"/>
        <v>157920</v>
      </c>
      <c r="I205" s="168">
        <f t="shared" si="38"/>
        <v>394800</v>
      </c>
      <c r="J205" s="168">
        <f t="shared" si="39"/>
        <v>0</v>
      </c>
      <c r="K205" s="168"/>
      <c r="L205" s="168"/>
      <c r="M205" s="168">
        <f t="shared" si="40"/>
        <v>199403.07692307694</v>
      </c>
    </row>
    <row r="206" spans="1:13" ht="18">
      <c r="A206" s="196" t="s">
        <v>2813</v>
      </c>
      <c r="B206" s="196"/>
      <c r="C206" s="192"/>
      <c r="D206" s="192"/>
      <c r="E206" s="153"/>
      <c r="F206" s="153"/>
      <c r="G206" s="153"/>
      <c r="H206" s="153"/>
      <c r="I206" s="153"/>
      <c r="J206" s="153"/>
      <c r="K206" s="153"/>
      <c r="L206" s="153"/>
      <c r="M206" s="153"/>
    </row>
    <row r="207" spans="1:13" ht="18">
      <c r="A207" s="186" t="s">
        <v>2723</v>
      </c>
      <c r="B207" s="186"/>
      <c r="C207" s="192"/>
      <c r="D207" s="192"/>
      <c r="E207" s="153"/>
      <c r="F207" s="153"/>
      <c r="G207" s="153"/>
      <c r="H207" s="153"/>
      <c r="I207" s="153"/>
      <c r="J207" s="153"/>
      <c r="K207" s="153"/>
      <c r="L207" s="153"/>
      <c r="M207" s="153"/>
    </row>
    <row r="208" spans="1:13" ht="18">
      <c r="A208" s="196" t="s">
        <v>2814</v>
      </c>
      <c r="B208" s="196"/>
      <c r="C208" s="192"/>
      <c r="D208" s="192"/>
      <c r="E208" s="153"/>
      <c r="F208" s="153"/>
      <c r="G208" s="153"/>
      <c r="H208" s="153"/>
      <c r="I208" s="153"/>
      <c r="J208" s="153"/>
      <c r="K208" s="153"/>
      <c r="L208" s="153"/>
      <c r="M208" s="153"/>
    </row>
    <row r="209" spans="1:13" ht="18">
      <c r="A209" s="186" t="s">
        <v>2724</v>
      </c>
      <c r="B209" s="186"/>
      <c r="C209" s="192"/>
      <c r="D209" s="192"/>
      <c r="E209" s="153"/>
      <c r="F209" s="153"/>
      <c r="G209" s="153"/>
      <c r="H209" s="153"/>
      <c r="I209" s="153"/>
      <c r="J209" s="153"/>
      <c r="K209" s="153"/>
      <c r="L209" s="153"/>
      <c r="M209" s="153"/>
    </row>
    <row r="210" spans="1:13" ht="18">
      <c r="A210" s="196" t="s">
        <v>2815</v>
      </c>
      <c r="B210" s="196"/>
      <c r="C210" s="192"/>
      <c r="D210" s="192"/>
      <c r="E210" s="153"/>
      <c r="F210" s="153"/>
      <c r="G210" s="153"/>
      <c r="H210" s="153"/>
      <c r="I210" s="153"/>
      <c r="J210" s="153"/>
      <c r="K210" s="153"/>
      <c r="L210" s="153"/>
      <c r="M210" s="153"/>
    </row>
    <row r="211" spans="1:13" ht="18">
      <c r="A211" s="186" t="s">
        <v>2725</v>
      </c>
      <c r="B211" s="186"/>
      <c r="C211" s="192"/>
      <c r="D211" s="192"/>
      <c r="E211" s="153"/>
      <c r="F211" s="153"/>
      <c r="G211" s="153"/>
      <c r="H211" s="153"/>
      <c r="I211" s="153"/>
      <c r="J211" s="153"/>
      <c r="K211" s="153"/>
      <c r="L211" s="153"/>
      <c r="M211" s="153"/>
    </row>
    <row r="212" spans="1:13" ht="18">
      <c r="A212" s="196" t="s">
        <v>2816</v>
      </c>
      <c r="B212" s="196"/>
      <c r="C212" s="192"/>
      <c r="D212" s="192"/>
      <c r="E212" s="153"/>
      <c r="F212" s="153"/>
      <c r="G212" s="153"/>
      <c r="H212" s="153"/>
      <c r="I212" s="153"/>
      <c r="J212" s="153"/>
      <c r="K212" s="153"/>
      <c r="L212" s="153"/>
      <c r="M212" s="153"/>
    </row>
    <row r="213" spans="1:13" ht="18">
      <c r="A213" s="186" t="s">
        <v>2726</v>
      </c>
      <c r="B213" s="186"/>
      <c r="C213" s="192"/>
      <c r="D213" s="192"/>
      <c r="E213" s="153"/>
      <c r="F213" s="153"/>
      <c r="G213" s="153"/>
      <c r="H213" s="153"/>
      <c r="I213" s="153"/>
      <c r="J213" s="153"/>
      <c r="K213" s="153"/>
      <c r="L213" s="153"/>
      <c r="M213" s="153"/>
    </row>
    <row r="214" spans="1:13" ht="18">
      <c r="A214" s="169" t="s">
        <v>2727</v>
      </c>
      <c r="B214" s="169"/>
      <c r="C214" s="184"/>
      <c r="D214" s="184"/>
      <c r="E214" s="171"/>
      <c r="F214" s="171"/>
      <c r="G214" s="171"/>
      <c r="H214" s="171"/>
      <c r="I214" s="171"/>
      <c r="J214" s="172"/>
      <c r="K214" s="172"/>
      <c r="L214" s="172"/>
      <c r="M214" s="172"/>
    </row>
    <row r="215" spans="1:13" ht="18">
      <c r="A215" s="169" t="s">
        <v>2728</v>
      </c>
      <c r="B215" s="169"/>
      <c r="C215" s="184"/>
      <c r="D215" s="184"/>
      <c r="E215" s="171"/>
      <c r="F215" s="171"/>
      <c r="G215" s="171"/>
      <c r="H215" s="171"/>
      <c r="I215" s="171"/>
      <c r="J215" s="172"/>
      <c r="K215" s="172"/>
      <c r="L215" s="172"/>
      <c r="M215" s="172"/>
    </row>
    <row r="216" spans="1:13" ht="18">
      <c r="A216" s="187" t="s">
        <v>2729</v>
      </c>
      <c r="B216" s="187"/>
      <c r="C216" s="161"/>
      <c r="D216" s="186"/>
      <c r="E216" s="171"/>
      <c r="F216" s="171"/>
      <c r="G216" s="171"/>
      <c r="H216" s="171"/>
      <c r="I216" s="172"/>
      <c r="J216" s="172"/>
      <c r="K216" s="172"/>
      <c r="L216" s="172"/>
      <c r="M216" s="172"/>
    </row>
    <row r="217" spans="1:13" ht="18">
      <c r="A217" s="173" t="s">
        <v>2730</v>
      </c>
      <c r="B217" s="173"/>
      <c r="C217" s="161"/>
      <c r="D217" s="186"/>
      <c r="E217" s="171"/>
      <c r="F217" s="171"/>
      <c r="G217" s="171"/>
      <c r="H217" s="171"/>
      <c r="I217" s="172"/>
      <c r="J217" s="172"/>
      <c r="K217" s="172"/>
      <c r="L217" s="172"/>
      <c r="M217" s="172"/>
    </row>
    <row r="218" spans="1:13" ht="18">
      <c r="A218" s="173" t="s">
        <v>2718</v>
      </c>
      <c r="B218" s="173"/>
      <c r="C218" s="170"/>
      <c r="D218" s="170"/>
      <c r="E218" s="172"/>
      <c r="F218" s="172"/>
      <c r="G218" s="172"/>
      <c r="H218" s="172"/>
      <c r="I218" s="172"/>
      <c r="J218" s="172"/>
      <c r="K218" s="172"/>
      <c r="L218" s="172"/>
      <c r="M218" s="172"/>
    </row>
    <row r="219" spans="1:13" ht="18">
      <c r="A219" s="173" t="s">
        <v>2719</v>
      </c>
      <c r="B219" s="173"/>
      <c r="C219" s="170"/>
      <c r="D219" s="197"/>
      <c r="E219" s="172"/>
      <c r="F219" s="172"/>
      <c r="G219" s="172"/>
      <c r="H219" s="172"/>
      <c r="I219" s="172"/>
      <c r="J219" s="172"/>
      <c r="K219" s="172"/>
      <c r="L219" s="172"/>
      <c r="M219" s="168"/>
    </row>
    <row r="220" spans="1:13" ht="18">
      <c r="A220" s="173" t="s">
        <v>2731</v>
      </c>
      <c r="B220" s="173"/>
      <c r="C220" s="170"/>
      <c r="D220" s="197"/>
      <c r="E220" s="172"/>
      <c r="F220" s="172"/>
      <c r="G220" s="172"/>
      <c r="H220" s="172"/>
      <c r="I220" s="172"/>
      <c r="J220" s="172"/>
      <c r="K220" s="172"/>
      <c r="L220" s="172"/>
      <c r="M220" s="168"/>
    </row>
    <row r="221" spans="1:13" ht="18">
      <c r="A221" s="189"/>
      <c r="B221" s="189"/>
      <c r="C221" s="198"/>
      <c r="D221" s="190">
        <v>3.91</v>
      </c>
      <c r="E221" s="172">
        <f>D221*LTT</f>
        <v>4105500</v>
      </c>
      <c r="F221" s="180">
        <f>$F$10</f>
        <v>210000</v>
      </c>
      <c r="G221" s="168">
        <f>E221*luongphu</f>
        <v>492660</v>
      </c>
      <c r="H221" s="168">
        <f>E221*khoantructiep</f>
        <v>164220</v>
      </c>
      <c r="I221" s="168">
        <f>E221*KhongOndinhSX</f>
        <v>410550</v>
      </c>
      <c r="J221" s="168">
        <f>E221*thuhut</f>
        <v>0</v>
      </c>
      <c r="K221" s="168"/>
      <c r="L221" s="168"/>
      <c r="M221" s="168">
        <f>ROUND(SUM(E221:L221)/26,0)</f>
        <v>207036</v>
      </c>
    </row>
    <row r="222" spans="1:13" ht="18">
      <c r="A222" s="189"/>
      <c r="B222" s="189"/>
      <c r="C222" s="198"/>
      <c r="D222" s="190">
        <v>4.16</v>
      </c>
      <c r="E222" s="172">
        <f>D222*LTT</f>
        <v>4368000</v>
      </c>
      <c r="F222" s="180">
        <f>$F$10</f>
        <v>210000</v>
      </c>
      <c r="G222" s="168">
        <f>E222*luongphu</f>
        <v>524160</v>
      </c>
      <c r="H222" s="168">
        <f>E222*khoantructiep</f>
        <v>174720</v>
      </c>
      <c r="I222" s="168">
        <f>E222*KhongOndinhSX</f>
        <v>436800</v>
      </c>
      <c r="J222" s="168">
        <f>E222*thuhut</f>
        <v>0</v>
      </c>
      <c r="K222" s="168"/>
      <c r="L222" s="168"/>
      <c r="M222" s="168">
        <f>ROUND(SUM(E222:L222)/26,0)</f>
        <v>219757</v>
      </c>
    </row>
    <row r="223" spans="1:13" ht="18">
      <c r="A223" s="173" t="s">
        <v>2705</v>
      </c>
      <c r="B223" s="173"/>
      <c r="C223" s="199"/>
      <c r="D223" s="199"/>
      <c r="E223" s="191"/>
      <c r="F223" s="191"/>
      <c r="G223" s="191"/>
      <c r="H223" s="191"/>
      <c r="I223" s="191"/>
      <c r="J223" s="191"/>
      <c r="K223" s="191"/>
      <c r="L223" s="191"/>
      <c r="M223" s="168"/>
    </row>
    <row r="224" spans="1:13" ht="18">
      <c r="A224" s="189"/>
      <c r="B224" s="189"/>
      <c r="C224" s="198"/>
      <c r="D224" s="190">
        <v>4.37</v>
      </c>
      <c r="E224" s="172">
        <f>D224*LTT</f>
        <v>4588500</v>
      </c>
      <c r="F224" s="180">
        <f>$F$10</f>
        <v>210000</v>
      </c>
      <c r="G224" s="168">
        <f>E224*luongphu</f>
        <v>550620</v>
      </c>
      <c r="H224" s="168">
        <f>E224*khoantructiep</f>
        <v>183540</v>
      </c>
      <c r="I224" s="168">
        <f>E224*KhongOndinhSX</f>
        <v>458850</v>
      </c>
      <c r="J224" s="168">
        <f>E224*thuhut</f>
        <v>0</v>
      </c>
      <c r="K224" s="168"/>
      <c r="L224" s="168"/>
      <c r="M224" s="168">
        <f>ROUND(SUM(E224:L224)/26,0)</f>
        <v>230443</v>
      </c>
    </row>
    <row r="225" spans="1:13" ht="18">
      <c r="A225" s="189"/>
      <c r="B225" s="189"/>
      <c r="C225" s="198"/>
      <c r="D225" s="190">
        <v>4.68</v>
      </c>
      <c r="E225" s="172">
        <f>D225*LTT</f>
        <v>4914000</v>
      </c>
      <c r="F225" s="180">
        <f>$F$10</f>
        <v>210000</v>
      </c>
      <c r="G225" s="168">
        <f>E225*luongphu</f>
        <v>589680</v>
      </c>
      <c r="H225" s="168">
        <f>E225*khoantructiep</f>
        <v>196560</v>
      </c>
      <c r="I225" s="168">
        <f>E225*KhongOndinhSX</f>
        <v>491400</v>
      </c>
      <c r="J225" s="168">
        <f>E225*thuhut</f>
        <v>0</v>
      </c>
      <c r="K225" s="168"/>
      <c r="L225" s="168"/>
      <c r="M225" s="168">
        <f>ROUND(SUM(E225:L225)/26,0)</f>
        <v>246217</v>
      </c>
    </row>
    <row r="226" spans="1:13" ht="18">
      <c r="A226" s="173" t="s">
        <v>2706</v>
      </c>
      <c r="B226" s="173"/>
      <c r="C226" s="199"/>
      <c r="D226" s="199"/>
      <c r="E226" s="191"/>
      <c r="F226" s="191"/>
      <c r="G226" s="191"/>
      <c r="H226" s="191"/>
      <c r="I226" s="191"/>
      <c r="J226" s="191"/>
      <c r="K226" s="191"/>
      <c r="L226" s="191"/>
      <c r="M226" s="168"/>
    </row>
    <row r="227" spans="1:13" ht="18">
      <c r="A227" s="189"/>
      <c r="B227" s="189"/>
      <c r="C227" s="198"/>
      <c r="D227" s="190">
        <v>4.88</v>
      </c>
      <c r="E227" s="172">
        <f>D227*LTT</f>
        <v>5124000</v>
      </c>
      <c r="F227" s="180">
        <f>$F$10</f>
        <v>210000</v>
      </c>
      <c r="G227" s="168">
        <f>E227*luongphu</f>
        <v>614880</v>
      </c>
      <c r="H227" s="168">
        <f>E227*khoantructiep</f>
        <v>204960</v>
      </c>
      <c r="I227" s="168">
        <f>E227*KhongOndinhSX</f>
        <v>512400</v>
      </c>
      <c r="J227" s="168">
        <f>E227*thuhut</f>
        <v>0</v>
      </c>
      <c r="K227" s="168"/>
      <c r="L227" s="168"/>
      <c r="M227" s="168">
        <f>ROUND(SUM(E227:L227)/26,0)</f>
        <v>256394</v>
      </c>
    </row>
    <row r="228" spans="1:13" ht="18">
      <c r="A228" s="189"/>
      <c r="B228" s="189"/>
      <c r="C228" s="198"/>
      <c r="D228" s="190">
        <v>5.19</v>
      </c>
      <c r="E228" s="172">
        <f>D228*LTT</f>
        <v>5449500</v>
      </c>
      <c r="F228" s="180">
        <f>$F$10</f>
        <v>210000</v>
      </c>
      <c r="G228" s="168">
        <f>E228*luongphu</f>
        <v>653940</v>
      </c>
      <c r="H228" s="168">
        <f>E228*khoantructiep</f>
        <v>217980</v>
      </c>
      <c r="I228" s="168">
        <f>E228*KhongOndinhSX</f>
        <v>544950</v>
      </c>
      <c r="J228" s="168">
        <f>E228*thuhut</f>
        <v>0</v>
      </c>
      <c r="K228" s="168"/>
      <c r="L228" s="168"/>
      <c r="M228" s="168">
        <f>ROUND(SUM(E228:L228)/26,0)</f>
        <v>272168</v>
      </c>
    </row>
    <row r="229" spans="1:13" ht="18">
      <c r="A229" s="173" t="s">
        <v>2732</v>
      </c>
      <c r="B229" s="173"/>
      <c r="C229" s="170"/>
      <c r="D229" s="170"/>
      <c r="E229" s="172"/>
      <c r="F229" s="172"/>
      <c r="G229" s="172"/>
      <c r="H229" s="172"/>
      <c r="I229" s="172"/>
      <c r="J229" s="172"/>
      <c r="K229" s="172"/>
      <c r="L229" s="172"/>
      <c r="M229" s="168"/>
    </row>
    <row r="230" spans="1:13" ht="18">
      <c r="A230" s="189"/>
      <c r="B230" s="189"/>
      <c r="C230" s="170"/>
      <c r="D230" s="190">
        <v>3.5</v>
      </c>
      <c r="E230" s="172">
        <f aca="true" t="shared" si="41" ref="E230:E235">D230*LTT</f>
        <v>3675000</v>
      </c>
      <c r="F230" s="180">
        <f aca="true" t="shared" si="42" ref="F230:F235">$F$10</f>
        <v>210000</v>
      </c>
      <c r="G230" s="168">
        <f aca="true" t="shared" si="43" ref="G230:G235">E230*luongphu</f>
        <v>441000</v>
      </c>
      <c r="H230" s="168">
        <f aca="true" t="shared" si="44" ref="H230:H235">E230*khoantructiep</f>
        <v>147000</v>
      </c>
      <c r="I230" s="168">
        <f aca="true" t="shared" si="45" ref="I230:I235">E230*KhongOndinhSX</f>
        <v>367500</v>
      </c>
      <c r="J230" s="168">
        <f aca="true" t="shared" si="46" ref="J230:J235">E230*thuhut</f>
        <v>0</v>
      </c>
      <c r="K230" s="168"/>
      <c r="L230" s="168"/>
      <c r="M230" s="168">
        <f aca="true" t="shared" si="47" ref="M230:M235">ROUND(SUM(E230:L230)/26,0)</f>
        <v>186173</v>
      </c>
    </row>
    <row r="231" spans="1:13" ht="18">
      <c r="A231" s="189"/>
      <c r="B231" s="189"/>
      <c r="C231" s="170"/>
      <c r="D231" s="190">
        <v>3.73</v>
      </c>
      <c r="E231" s="172">
        <f t="shared" si="41"/>
        <v>3916500</v>
      </c>
      <c r="F231" s="180">
        <f t="shared" si="42"/>
        <v>210000</v>
      </c>
      <c r="G231" s="168">
        <f t="shared" si="43"/>
        <v>469980</v>
      </c>
      <c r="H231" s="168">
        <f t="shared" si="44"/>
        <v>156660</v>
      </c>
      <c r="I231" s="168">
        <f t="shared" si="45"/>
        <v>391650</v>
      </c>
      <c r="J231" s="168">
        <f t="shared" si="46"/>
        <v>0</v>
      </c>
      <c r="K231" s="168"/>
      <c r="L231" s="168"/>
      <c r="M231" s="168">
        <f t="shared" si="47"/>
        <v>197877</v>
      </c>
    </row>
    <row r="232" spans="1:13" ht="18">
      <c r="A232" s="189"/>
      <c r="B232" s="189"/>
      <c r="C232" s="170"/>
      <c r="D232" s="190">
        <v>4.16</v>
      </c>
      <c r="E232" s="172">
        <f t="shared" si="41"/>
        <v>4368000</v>
      </c>
      <c r="F232" s="180">
        <f t="shared" si="42"/>
        <v>210000</v>
      </c>
      <c r="G232" s="168">
        <f t="shared" si="43"/>
        <v>524160</v>
      </c>
      <c r="H232" s="168">
        <f t="shared" si="44"/>
        <v>174720</v>
      </c>
      <c r="I232" s="168">
        <f t="shared" si="45"/>
        <v>436800</v>
      </c>
      <c r="J232" s="168">
        <f t="shared" si="46"/>
        <v>0</v>
      </c>
      <c r="K232" s="168"/>
      <c r="L232" s="168"/>
      <c r="M232" s="168">
        <f t="shared" si="47"/>
        <v>219757</v>
      </c>
    </row>
    <row r="233" spans="1:13" ht="18">
      <c r="A233" s="189"/>
      <c r="B233" s="189"/>
      <c r="C233" s="170"/>
      <c r="D233" s="190">
        <v>4.37</v>
      </c>
      <c r="E233" s="172">
        <f t="shared" si="41"/>
        <v>4588500</v>
      </c>
      <c r="F233" s="180">
        <f t="shared" si="42"/>
        <v>210000</v>
      </c>
      <c r="G233" s="168">
        <f t="shared" si="43"/>
        <v>550620</v>
      </c>
      <c r="H233" s="168">
        <f t="shared" si="44"/>
        <v>183540</v>
      </c>
      <c r="I233" s="168">
        <f t="shared" si="45"/>
        <v>458850</v>
      </c>
      <c r="J233" s="168">
        <f t="shared" si="46"/>
        <v>0</v>
      </c>
      <c r="K233" s="168"/>
      <c r="L233" s="168"/>
      <c r="M233" s="168">
        <f t="shared" si="47"/>
        <v>230443</v>
      </c>
    </row>
    <row r="234" spans="1:13" ht="18">
      <c r="A234" s="189"/>
      <c r="B234" s="189"/>
      <c r="C234" s="170"/>
      <c r="D234" s="190">
        <v>4.71</v>
      </c>
      <c r="E234" s="172">
        <f t="shared" si="41"/>
        <v>4945500</v>
      </c>
      <c r="F234" s="180">
        <f t="shared" si="42"/>
        <v>210000</v>
      </c>
      <c r="G234" s="168">
        <f t="shared" si="43"/>
        <v>593460</v>
      </c>
      <c r="H234" s="168">
        <f t="shared" si="44"/>
        <v>197820</v>
      </c>
      <c r="I234" s="168">
        <f t="shared" si="45"/>
        <v>494550</v>
      </c>
      <c r="J234" s="168">
        <f t="shared" si="46"/>
        <v>0</v>
      </c>
      <c r="K234" s="168"/>
      <c r="L234" s="168"/>
      <c r="M234" s="168">
        <f t="shared" si="47"/>
        <v>247743</v>
      </c>
    </row>
    <row r="235" spans="1:13" ht="18">
      <c r="A235" s="189"/>
      <c r="B235" s="189"/>
      <c r="C235" s="170"/>
      <c r="D235" s="190">
        <v>5.07</v>
      </c>
      <c r="E235" s="172">
        <f t="shared" si="41"/>
        <v>5323500</v>
      </c>
      <c r="F235" s="180">
        <f t="shared" si="42"/>
        <v>210000</v>
      </c>
      <c r="G235" s="168">
        <f t="shared" si="43"/>
        <v>638820</v>
      </c>
      <c r="H235" s="168">
        <f t="shared" si="44"/>
        <v>212940</v>
      </c>
      <c r="I235" s="168">
        <f t="shared" si="45"/>
        <v>532350</v>
      </c>
      <c r="J235" s="168">
        <f t="shared" si="46"/>
        <v>0</v>
      </c>
      <c r="K235" s="168"/>
      <c r="L235" s="168"/>
      <c r="M235" s="168">
        <f t="shared" si="47"/>
        <v>266062</v>
      </c>
    </row>
    <row r="236" spans="1:13" ht="18">
      <c r="A236" s="173" t="s">
        <v>2733</v>
      </c>
      <c r="B236" s="173"/>
      <c r="C236" s="170"/>
      <c r="D236" s="170"/>
      <c r="E236" s="172"/>
      <c r="F236" s="172"/>
      <c r="G236" s="172"/>
      <c r="H236" s="172"/>
      <c r="I236" s="172"/>
      <c r="J236" s="172"/>
      <c r="K236" s="172"/>
      <c r="L236" s="172"/>
      <c r="M236" s="168"/>
    </row>
    <row r="237" spans="1:13" ht="18">
      <c r="A237" s="173" t="s">
        <v>2734</v>
      </c>
      <c r="B237" s="173"/>
      <c r="C237" s="170"/>
      <c r="D237" s="170"/>
      <c r="E237" s="172"/>
      <c r="F237" s="172"/>
      <c r="G237" s="172"/>
      <c r="H237" s="172"/>
      <c r="I237" s="172"/>
      <c r="J237" s="172"/>
      <c r="K237" s="172"/>
      <c r="L237" s="172"/>
      <c r="M237" s="168"/>
    </row>
    <row r="238" spans="1:13" ht="18">
      <c r="A238" s="189"/>
      <c r="B238" s="189"/>
      <c r="C238" s="170"/>
      <c r="D238" s="190">
        <v>4.16</v>
      </c>
      <c r="E238" s="172">
        <f>D238*LTT</f>
        <v>4368000</v>
      </c>
      <c r="F238" s="180">
        <f>$F$10</f>
        <v>210000</v>
      </c>
      <c r="G238" s="168">
        <f>E238*luongphu</f>
        <v>524160</v>
      </c>
      <c r="H238" s="168">
        <f>E238*khoantructiep</f>
        <v>174720</v>
      </c>
      <c r="I238" s="168">
        <f>E238*KhongOndinhSX</f>
        <v>436800</v>
      </c>
      <c r="J238" s="168">
        <f>E238*thuhut</f>
        <v>0</v>
      </c>
      <c r="K238" s="168"/>
      <c r="L238" s="168"/>
      <c r="M238" s="168">
        <f>ROUND(SUM(E238:L238)/26,0)</f>
        <v>219757</v>
      </c>
    </row>
    <row r="239" spans="1:13" ht="18">
      <c r="A239" s="189"/>
      <c r="B239" s="189"/>
      <c r="C239" s="170"/>
      <c r="D239" s="190">
        <v>4.36</v>
      </c>
      <c r="E239" s="172">
        <f>D239*LTT</f>
        <v>4578000</v>
      </c>
      <c r="F239" s="180">
        <f>$F$10</f>
        <v>210000</v>
      </c>
      <c r="G239" s="168">
        <f>E239*luongphu</f>
        <v>549360</v>
      </c>
      <c r="H239" s="168">
        <f>E239*khoantructiep</f>
        <v>183120</v>
      </c>
      <c r="I239" s="168">
        <f>E239*KhongOndinhSX</f>
        <v>457800</v>
      </c>
      <c r="J239" s="168">
        <f>E239*thuhut</f>
        <v>0</v>
      </c>
      <c r="K239" s="168"/>
      <c r="L239" s="168"/>
      <c r="M239" s="168">
        <f>ROUND(SUM(E239:L239)/26,0)</f>
        <v>229934</v>
      </c>
    </row>
    <row r="240" spans="1:13" ht="18">
      <c r="A240" s="173" t="s">
        <v>2735</v>
      </c>
      <c r="B240" s="173"/>
      <c r="C240" s="170"/>
      <c r="D240" s="170"/>
      <c r="E240" s="172"/>
      <c r="F240" s="172"/>
      <c r="G240" s="172"/>
      <c r="H240" s="172"/>
      <c r="I240" s="172"/>
      <c r="J240" s="172"/>
      <c r="K240" s="172"/>
      <c r="L240" s="172"/>
      <c r="M240" s="168"/>
    </row>
    <row r="241" spans="1:13" ht="18">
      <c r="A241" s="189"/>
      <c r="B241" s="189"/>
      <c r="C241" s="170"/>
      <c r="D241" s="190">
        <v>3.48</v>
      </c>
      <c r="E241" s="172">
        <f aca="true" t="shared" si="48" ref="E241:E246">D241*LTT</f>
        <v>3654000</v>
      </c>
      <c r="F241" s="180">
        <f aca="true" t="shared" si="49" ref="F241:F246">$F$10</f>
        <v>210000</v>
      </c>
      <c r="G241" s="168">
        <f aca="true" t="shared" si="50" ref="G241:G246">E241*luongphu</f>
        <v>438480</v>
      </c>
      <c r="H241" s="168">
        <f aca="true" t="shared" si="51" ref="H241:H246">E241*khoantructiep</f>
        <v>146160</v>
      </c>
      <c r="I241" s="168">
        <f aca="true" t="shared" si="52" ref="I241:I246">E241*KhongOndinhSX</f>
        <v>365400</v>
      </c>
      <c r="J241" s="168">
        <f aca="true" t="shared" si="53" ref="J241:J246">E241*thuhut</f>
        <v>0</v>
      </c>
      <c r="K241" s="168"/>
      <c r="L241" s="168"/>
      <c r="M241" s="168">
        <f aca="true" t="shared" si="54" ref="M241:M246">ROUND(SUM(E241:L241)/26,0)</f>
        <v>185155</v>
      </c>
    </row>
    <row r="242" spans="1:13" ht="18">
      <c r="A242" s="189"/>
      <c r="B242" s="189"/>
      <c r="C242" s="170"/>
      <c r="D242" s="190">
        <v>3.71</v>
      </c>
      <c r="E242" s="172">
        <f t="shared" si="48"/>
        <v>3895500</v>
      </c>
      <c r="F242" s="180">
        <f t="shared" si="49"/>
        <v>210000</v>
      </c>
      <c r="G242" s="168">
        <f t="shared" si="50"/>
        <v>467460</v>
      </c>
      <c r="H242" s="168">
        <f t="shared" si="51"/>
        <v>155820</v>
      </c>
      <c r="I242" s="168">
        <f t="shared" si="52"/>
        <v>389550</v>
      </c>
      <c r="J242" s="168">
        <f t="shared" si="53"/>
        <v>0</v>
      </c>
      <c r="K242" s="168"/>
      <c r="L242" s="168"/>
      <c r="M242" s="168">
        <f t="shared" si="54"/>
        <v>196859</v>
      </c>
    </row>
    <row r="243" spans="1:13" ht="18">
      <c r="A243" s="189"/>
      <c r="B243" s="189"/>
      <c r="C243" s="170"/>
      <c r="D243" s="190">
        <v>4.09</v>
      </c>
      <c r="E243" s="172">
        <f t="shared" si="48"/>
        <v>4294500</v>
      </c>
      <c r="F243" s="180">
        <f t="shared" si="49"/>
        <v>210000</v>
      </c>
      <c r="G243" s="168">
        <f t="shared" si="50"/>
        <v>515340</v>
      </c>
      <c r="H243" s="168">
        <f t="shared" si="51"/>
        <v>171780</v>
      </c>
      <c r="I243" s="168">
        <f t="shared" si="52"/>
        <v>429450</v>
      </c>
      <c r="J243" s="168">
        <f t="shared" si="53"/>
        <v>0</v>
      </c>
      <c r="K243" s="168"/>
      <c r="L243" s="168"/>
      <c r="M243" s="168">
        <f t="shared" si="54"/>
        <v>216195</v>
      </c>
    </row>
    <row r="244" spans="1:13" ht="18">
      <c r="A244" s="189"/>
      <c r="B244" s="189"/>
      <c r="C244" s="170"/>
      <c r="D244" s="190">
        <v>4.3</v>
      </c>
      <c r="E244" s="172">
        <f t="shared" si="48"/>
        <v>4515000</v>
      </c>
      <c r="F244" s="180">
        <f t="shared" si="49"/>
        <v>210000</v>
      </c>
      <c r="G244" s="168">
        <f t="shared" si="50"/>
        <v>541800</v>
      </c>
      <c r="H244" s="168">
        <f t="shared" si="51"/>
        <v>180600</v>
      </c>
      <c r="I244" s="168">
        <f t="shared" si="52"/>
        <v>451500</v>
      </c>
      <c r="J244" s="168">
        <f t="shared" si="53"/>
        <v>0</v>
      </c>
      <c r="K244" s="168"/>
      <c r="L244" s="168"/>
      <c r="M244" s="168">
        <f t="shared" si="54"/>
        <v>226881</v>
      </c>
    </row>
    <row r="245" spans="1:13" ht="18">
      <c r="A245" s="189"/>
      <c r="B245" s="189"/>
      <c r="C245" s="170"/>
      <c r="D245" s="190">
        <v>4.68</v>
      </c>
      <c r="E245" s="172">
        <f t="shared" si="48"/>
        <v>4914000</v>
      </c>
      <c r="F245" s="180">
        <f t="shared" si="49"/>
        <v>210000</v>
      </c>
      <c r="G245" s="168">
        <f t="shared" si="50"/>
        <v>589680</v>
      </c>
      <c r="H245" s="168">
        <f t="shared" si="51"/>
        <v>196560</v>
      </c>
      <c r="I245" s="168">
        <f t="shared" si="52"/>
        <v>491400</v>
      </c>
      <c r="J245" s="168">
        <f t="shared" si="53"/>
        <v>0</v>
      </c>
      <c r="K245" s="168"/>
      <c r="L245" s="168"/>
      <c r="M245" s="168">
        <f t="shared" si="54"/>
        <v>246217</v>
      </c>
    </row>
    <row r="246" spans="1:13" ht="18">
      <c r="A246" s="189"/>
      <c r="B246" s="189"/>
      <c r="C246" s="170"/>
      <c r="D246" s="190">
        <v>4.92</v>
      </c>
      <c r="E246" s="172">
        <f t="shared" si="48"/>
        <v>5166000</v>
      </c>
      <c r="F246" s="180">
        <f t="shared" si="49"/>
        <v>210000</v>
      </c>
      <c r="G246" s="168">
        <f t="shared" si="50"/>
        <v>619920</v>
      </c>
      <c r="H246" s="168">
        <f t="shared" si="51"/>
        <v>206640</v>
      </c>
      <c r="I246" s="168">
        <f t="shared" si="52"/>
        <v>516600</v>
      </c>
      <c r="J246" s="168">
        <f t="shared" si="53"/>
        <v>0</v>
      </c>
      <c r="K246" s="168"/>
      <c r="L246" s="168"/>
      <c r="M246" s="168">
        <f t="shared" si="54"/>
        <v>258429</v>
      </c>
    </row>
    <row r="247" spans="1:13" ht="18">
      <c r="A247" s="173" t="s">
        <v>2736</v>
      </c>
      <c r="B247" s="173"/>
      <c r="C247" s="170"/>
      <c r="D247" s="170"/>
      <c r="E247" s="172"/>
      <c r="F247" s="172"/>
      <c r="G247" s="172"/>
      <c r="H247" s="172"/>
      <c r="I247" s="172"/>
      <c r="J247" s="172"/>
      <c r="K247" s="172"/>
      <c r="L247" s="172"/>
      <c r="M247" s="168"/>
    </row>
    <row r="248" spans="1:13" ht="18">
      <c r="A248" s="189"/>
      <c r="B248" s="189"/>
      <c r="C248" s="170"/>
      <c r="D248" s="190">
        <v>3.17</v>
      </c>
      <c r="E248" s="172">
        <f aca="true" t="shared" si="55" ref="E248:E253">D248*LTT</f>
        <v>3328500</v>
      </c>
      <c r="F248" s="180">
        <f aca="true" t="shared" si="56" ref="F248:F253">$F$10</f>
        <v>210000</v>
      </c>
      <c r="G248" s="168">
        <f aca="true" t="shared" si="57" ref="G248:G253">E248*luongphu</f>
        <v>399420</v>
      </c>
      <c r="H248" s="168">
        <f aca="true" t="shared" si="58" ref="H248:H253">E248*khoantructiep</f>
        <v>133140</v>
      </c>
      <c r="I248" s="168">
        <f aca="true" t="shared" si="59" ref="I248:I253">E248*KhongOndinhSX</f>
        <v>332850</v>
      </c>
      <c r="J248" s="168">
        <f aca="true" t="shared" si="60" ref="J248:J253">E248*thuhut</f>
        <v>0</v>
      </c>
      <c r="K248" s="168"/>
      <c r="L248" s="168"/>
      <c r="M248" s="168">
        <f aca="true" t="shared" si="61" ref="M248:M253">ROUND(SUM(E248:L248)/26,0)</f>
        <v>169381</v>
      </c>
    </row>
    <row r="249" spans="1:13" ht="18">
      <c r="A249" s="189"/>
      <c r="B249" s="189"/>
      <c r="C249" s="170"/>
      <c r="D249" s="190">
        <v>3.5</v>
      </c>
      <c r="E249" s="172">
        <f t="shared" si="55"/>
        <v>3675000</v>
      </c>
      <c r="F249" s="180">
        <f t="shared" si="56"/>
        <v>210000</v>
      </c>
      <c r="G249" s="168">
        <f t="shared" si="57"/>
        <v>441000</v>
      </c>
      <c r="H249" s="168">
        <f t="shared" si="58"/>
        <v>147000</v>
      </c>
      <c r="I249" s="168">
        <f t="shared" si="59"/>
        <v>367500</v>
      </c>
      <c r="J249" s="168">
        <f t="shared" si="60"/>
        <v>0</v>
      </c>
      <c r="K249" s="168"/>
      <c r="L249" s="168"/>
      <c r="M249" s="168">
        <f t="shared" si="61"/>
        <v>186173</v>
      </c>
    </row>
    <row r="250" spans="1:13" ht="18">
      <c r="A250" s="189"/>
      <c r="B250" s="189"/>
      <c r="C250" s="170"/>
      <c r="D250" s="190">
        <v>3.73</v>
      </c>
      <c r="E250" s="172">
        <f t="shared" si="55"/>
        <v>3916500</v>
      </c>
      <c r="F250" s="180">
        <f t="shared" si="56"/>
        <v>210000</v>
      </c>
      <c r="G250" s="168">
        <f t="shared" si="57"/>
        <v>469980</v>
      </c>
      <c r="H250" s="168">
        <f t="shared" si="58"/>
        <v>156660</v>
      </c>
      <c r="I250" s="168">
        <f t="shared" si="59"/>
        <v>391650</v>
      </c>
      <c r="J250" s="168">
        <f t="shared" si="60"/>
        <v>0</v>
      </c>
      <c r="K250" s="168"/>
      <c r="L250" s="168"/>
      <c r="M250" s="168">
        <f t="shared" si="61"/>
        <v>197877</v>
      </c>
    </row>
    <row r="251" spans="1:13" ht="18">
      <c r="A251" s="189"/>
      <c r="B251" s="189"/>
      <c r="C251" s="170"/>
      <c r="D251" s="190">
        <v>3.91</v>
      </c>
      <c r="E251" s="172">
        <f t="shared" si="55"/>
        <v>4105500</v>
      </c>
      <c r="F251" s="180">
        <f t="shared" si="56"/>
        <v>210000</v>
      </c>
      <c r="G251" s="168">
        <f t="shared" si="57"/>
        <v>492660</v>
      </c>
      <c r="H251" s="168">
        <f t="shared" si="58"/>
        <v>164220</v>
      </c>
      <c r="I251" s="168">
        <f t="shared" si="59"/>
        <v>410550</v>
      </c>
      <c r="J251" s="168">
        <f t="shared" si="60"/>
        <v>0</v>
      </c>
      <c r="K251" s="168"/>
      <c r="L251" s="168"/>
      <c r="M251" s="168">
        <f t="shared" si="61"/>
        <v>207036</v>
      </c>
    </row>
    <row r="252" spans="1:13" ht="18">
      <c r="A252" s="189"/>
      <c r="B252" s="189"/>
      <c r="C252" s="170"/>
      <c r="D252" s="190">
        <v>4.37</v>
      </c>
      <c r="E252" s="172">
        <f t="shared" si="55"/>
        <v>4588500</v>
      </c>
      <c r="F252" s="180">
        <f t="shared" si="56"/>
        <v>210000</v>
      </c>
      <c r="G252" s="168">
        <f t="shared" si="57"/>
        <v>550620</v>
      </c>
      <c r="H252" s="168">
        <f t="shared" si="58"/>
        <v>183540</v>
      </c>
      <c r="I252" s="168">
        <f t="shared" si="59"/>
        <v>458850</v>
      </c>
      <c r="J252" s="168">
        <f t="shared" si="60"/>
        <v>0</v>
      </c>
      <c r="K252" s="168"/>
      <c r="L252" s="168"/>
      <c r="M252" s="168">
        <f t="shared" si="61"/>
        <v>230443</v>
      </c>
    </row>
    <row r="253" spans="1:13" ht="18">
      <c r="A253" s="189"/>
      <c r="B253" s="189"/>
      <c r="C253" s="170"/>
      <c r="D253" s="190">
        <v>4.68</v>
      </c>
      <c r="E253" s="172">
        <f t="shared" si="55"/>
        <v>4914000</v>
      </c>
      <c r="F253" s="180">
        <f t="shared" si="56"/>
        <v>210000</v>
      </c>
      <c r="G253" s="168">
        <f t="shared" si="57"/>
        <v>589680</v>
      </c>
      <c r="H253" s="168">
        <f t="shared" si="58"/>
        <v>196560</v>
      </c>
      <c r="I253" s="168">
        <f t="shared" si="59"/>
        <v>491400</v>
      </c>
      <c r="J253" s="168">
        <f t="shared" si="60"/>
        <v>0</v>
      </c>
      <c r="K253" s="168"/>
      <c r="L253" s="168"/>
      <c r="M253" s="168">
        <f t="shared" si="61"/>
        <v>246217</v>
      </c>
    </row>
    <row r="254" spans="1:13" ht="18">
      <c r="A254" s="173" t="s">
        <v>2737</v>
      </c>
      <c r="B254" s="173"/>
      <c r="C254" s="170"/>
      <c r="D254" s="170"/>
      <c r="E254" s="172"/>
      <c r="F254" s="172"/>
      <c r="G254" s="172"/>
      <c r="H254" s="172"/>
      <c r="I254" s="172"/>
      <c r="J254" s="172"/>
      <c r="K254" s="172"/>
      <c r="L254" s="172"/>
      <c r="M254" s="168"/>
    </row>
    <row r="255" spans="1:13" ht="18">
      <c r="A255" s="189"/>
      <c r="B255" s="189"/>
      <c r="C255" s="170"/>
      <c r="D255" s="190">
        <v>4.16</v>
      </c>
      <c r="E255" s="172">
        <f>D255*LTT</f>
        <v>4368000</v>
      </c>
      <c r="F255" s="180">
        <f>$F$10</f>
        <v>210000</v>
      </c>
      <c r="G255" s="168">
        <f>E255*luongphu</f>
        <v>524160</v>
      </c>
      <c r="H255" s="168">
        <f>E255*khoantructiep</f>
        <v>174720</v>
      </c>
      <c r="I255" s="168">
        <f>E255*KhongOndinhSX</f>
        <v>436800</v>
      </c>
      <c r="J255" s="168">
        <f>E255*thuhut</f>
        <v>0</v>
      </c>
      <c r="K255" s="168"/>
      <c r="L255" s="168"/>
      <c r="M255" s="168">
        <f>ROUND(SUM(E255:L255)/26,0)</f>
        <v>219757</v>
      </c>
    </row>
    <row r="256" spans="1:13" ht="18">
      <c r="A256" s="189"/>
      <c r="B256" s="189"/>
      <c r="C256" s="170"/>
      <c r="D256" s="190">
        <v>4.36</v>
      </c>
      <c r="E256" s="172">
        <f>D256*LTT</f>
        <v>4578000</v>
      </c>
      <c r="F256" s="180">
        <f>$F$10</f>
        <v>210000</v>
      </c>
      <c r="G256" s="168">
        <f>E256*luongphu</f>
        <v>549360</v>
      </c>
      <c r="H256" s="168">
        <f>E256*khoantructiep</f>
        <v>183120</v>
      </c>
      <c r="I256" s="168">
        <f>E256*KhongOndinhSX</f>
        <v>457800</v>
      </c>
      <c r="J256" s="168">
        <f>E256*thuhut</f>
        <v>0</v>
      </c>
      <c r="K256" s="168"/>
      <c r="L256" s="168"/>
      <c r="M256" s="168">
        <f>ROUND(SUM(E256:L256)/26,0)</f>
        <v>229934</v>
      </c>
    </row>
    <row r="257" spans="1:13" ht="18">
      <c r="A257" s="173" t="s">
        <v>2738</v>
      </c>
      <c r="B257" s="173"/>
      <c r="C257" s="170"/>
      <c r="D257" s="170"/>
      <c r="E257" s="172"/>
      <c r="F257" s="172"/>
      <c r="G257" s="172"/>
      <c r="H257" s="172"/>
      <c r="I257" s="172"/>
      <c r="J257" s="172"/>
      <c r="K257" s="172"/>
      <c r="L257" s="172"/>
      <c r="M257" s="168"/>
    </row>
    <row r="258" spans="1:13" ht="18">
      <c r="A258" s="189"/>
      <c r="B258" s="189"/>
      <c r="C258" s="170"/>
      <c r="D258" s="190">
        <v>3.5</v>
      </c>
      <c r="E258" s="172">
        <f>D258*LTT</f>
        <v>3675000</v>
      </c>
      <c r="F258" s="180">
        <f>$F$10</f>
        <v>210000</v>
      </c>
      <c r="G258" s="168">
        <f>E258*luongphu</f>
        <v>441000</v>
      </c>
      <c r="H258" s="168">
        <f>E258*khoantructiep</f>
        <v>147000</v>
      </c>
      <c r="I258" s="168">
        <f>E258*KhongOndinhSX</f>
        <v>367500</v>
      </c>
      <c r="J258" s="168">
        <f>E258*thuhut</f>
        <v>0</v>
      </c>
      <c r="K258" s="168"/>
      <c r="L258" s="168"/>
      <c r="M258" s="168">
        <f>ROUND(SUM(E258:L258)/26,0)</f>
        <v>186173</v>
      </c>
    </row>
    <row r="259" spans="1:13" ht="18">
      <c r="A259" s="189"/>
      <c r="B259" s="189"/>
      <c r="C259" s="170"/>
      <c r="D259" s="190">
        <v>3.73</v>
      </c>
      <c r="E259" s="172">
        <f>D259*LTT</f>
        <v>3916500</v>
      </c>
      <c r="F259" s="180">
        <f>$F$10</f>
        <v>210000</v>
      </c>
      <c r="G259" s="168">
        <f>E259*luongphu</f>
        <v>469980</v>
      </c>
      <c r="H259" s="168">
        <f>E259*khoantructiep</f>
        <v>156660</v>
      </c>
      <c r="I259" s="168">
        <f>E259*KhongOndinhSX</f>
        <v>391650</v>
      </c>
      <c r="J259" s="168">
        <f>E259*thuhut</f>
        <v>0</v>
      </c>
      <c r="K259" s="168"/>
      <c r="L259" s="168"/>
      <c r="M259" s="168">
        <f>ROUND(SUM(E259:L259)/26,0)</f>
        <v>197877</v>
      </c>
    </row>
    <row r="260" spans="1:13" ht="18">
      <c r="A260" s="173" t="s">
        <v>2684</v>
      </c>
      <c r="B260" s="173"/>
      <c r="C260" s="170"/>
      <c r="D260" s="170"/>
      <c r="E260" s="172"/>
      <c r="F260" s="172"/>
      <c r="G260" s="172"/>
      <c r="H260" s="172"/>
      <c r="I260" s="172"/>
      <c r="J260" s="172"/>
      <c r="K260" s="172"/>
      <c r="L260" s="172"/>
      <c r="M260" s="168"/>
    </row>
    <row r="261" spans="1:13" ht="18">
      <c r="A261" s="173" t="s">
        <v>2739</v>
      </c>
      <c r="B261" s="173"/>
      <c r="C261" s="170"/>
      <c r="D261" s="170"/>
      <c r="E261" s="172"/>
      <c r="F261" s="172"/>
      <c r="G261" s="172"/>
      <c r="H261" s="172"/>
      <c r="I261" s="172"/>
      <c r="J261" s="172"/>
      <c r="K261" s="172"/>
      <c r="L261" s="172"/>
      <c r="M261" s="168"/>
    </row>
    <row r="262" spans="1:13" ht="18">
      <c r="A262" s="189"/>
      <c r="B262" s="189"/>
      <c r="C262" s="188" t="s">
        <v>1272</v>
      </c>
      <c r="D262" s="190">
        <v>2.05</v>
      </c>
      <c r="E262" s="172">
        <f>D262*LTT</f>
        <v>2152500</v>
      </c>
      <c r="F262" s="180">
        <f>$F$10</f>
        <v>210000</v>
      </c>
      <c r="G262" s="168">
        <f>E262*luongphu</f>
        <v>258300</v>
      </c>
      <c r="H262" s="168">
        <f>E262*khoantructiep</f>
        <v>86100</v>
      </c>
      <c r="I262" s="168">
        <f>E262*KhongOndinhSX</f>
        <v>215250</v>
      </c>
      <c r="J262" s="168">
        <f>E262*thuhut</f>
        <v>0</v>
      </c>
      <c r="K262" s="168"/>
      <c r="L262" s="168"/>
      <c r="M262" s="168">
        <f>ROUND(SUM(E262:L262)/26,0)</f>
        <v>112390</v>
      </c>
    </row>
    <row r="263" spans="1:13" ht="18">
      <c r="A263" s="189"/>
      <c r="B263" s="189"/>
      <c r="C263" s="188" t="s">
        <v>1274</v>
      </c>
      <c r="D263" s="190">
        <v>2.35</v>
      </c>
      <c r="E263" s="172">
        <f>D263*LTT</f>
        <v>2467500</v>
      </c>
      <c r="F263" s="180">
        <f>$F$10</f>
        <v>210000</v>
      </c>
      <c r="G263" s="168">
        <f>E263*luongphu</f>
        <v>296100</v>
      </c>
      <c r="H263" s="168">
        <f>E263*khoantructiep</f>
        <v>98700</v>
      </c>
      <c r="I263" s="168">
        <f>E263*KhongOndinhSX</f>
        <v>246750</v>
      </c>
      <c r="J263" s="168">
        <f>E263*thuhut</f>
        <v>0</v>
      </c>
      <c r="K263" s="168"/>
      <c r="L263" s="168"/>
      <c r="M263" s="168">
        <f>ROUND(SUM(E263:L263)/26,0)</f>
        <v>127656</v>
      </c>
    </row>
    <row r="264" spans="1:13" ht="18">
      <c r="A264" s="189"/>
      <c r="B264" s="189"/>
      <c r="C264" s="188" t="s">
        <v>1275</v>
      </c>
      <c r="D264" s="190">
        <v>2.66</v>
      </c>
      <c r="E264" s="172">
        <f>D264*LTT</f>
        <v>2793000</v>
      </c>
      <c r="F264" s="180">
        <f>$F$10</f>
        <v>210000</v>
      </c>
      <c r="G264" s="168">
        <f>E264*luongphu</f>
        <v>335160</v>
      </c>
      <c r="H264" s="168">
        <f>E264*khoantructiep</f>
        <v>111720</v>
      </c>
      <c r="I264" s="168">
        <f>E264*KhongOndinhSX</f>
        <v>279300</v>
      </c>
      <c r="J264" s="168">
        <f>E264*thuhut</f>
        <v>0</v>
      </c>
      <c r="K264" s="168"/>
      <c r="L264" s="168"/>
      <c r="M264" s="168">
        <f>ROUND(SUM(E264:L264)/26,0)</f>
        <v>143430</v>
      </c>
    </row>
    <row r="265" spans="1:13" ht="18">
      <c r="A265" s="189"/>
      <c r="B265" s="189"/>
      <c r="C265" s="188" t="s">
        <v>1276</v>
      </c>
      <c r="D265" s="190">
        <v>2.99</v>
      </c>
      <c r="E265" s="172">
        <f>D265*LTT</f>
        <v>3139500</v>
      </c>
      <c r="F265" s="180">
        <f>$F$10</f>
        <v>210000</v>
      </c>
      <c r="G265" s="168">
        <f>E265*luongphu</f>
        <v>376740</v>
      </c>
      <c r="H265" s="168">
        <f>E265*khoantructiep</f>
        <v>125580</v>
      </c>
      <c r="I265" s="168">
        <f>E265*KhongOndinhSX</f>
        <v>313950</v>
      </c>
      <c r="J265" s="168">
        <f>E265*thuhut</f>
        <v>0</v>
      </c>
      <c r="K265" s="168"/>
      <c r="L265" s="168"/>
      <c r="M265" s="168">
        <f>ROUND(SUM(E265:L265)/26,0)</f>
        <v>160222</v>
      </c>
    </row>
    <row r="266" spans="1:13" ht="18">
      <c r="A266" s="173" t="s">
        <v>2740</v>
      </c>
      <c r="B266" s="173"/>
      <c r="C266" s="170"/>
      <c r="D266" s="170"/>
      <c r="E266" s="172"/>
      <c r="F266" s="172"/>
      <c r="G266" s="172"/>
      <c r="H266" s="172"/>
      <c r="I266" s="172"/>
      <c r="J266" s="172"/>
      <c r="K266" s="172"/>
      <c r="L266" s="172"/>
      <c r="M266" s="168"/>
    </row>
    <row r="267" spans="1:13" ht="18">
      <c r="A267" s="189"/>
      <c r="B267" s="189"/>
      <c r="C267" s="188" t="s">
        <v>1272</v>
      </c>
      <c r="D267" s="190">
        <v>1.93</v>
      </c>
      <c r="E267" s="172">
        <f>D267*LTT</f>
        <v>2026500</v>
      </c>
      <c r="F267" s="180">
        <f>$F$10</f>
        <v>210000</v>
      </c>
      <c r="G267" s="168">
        <f>E267*luongphu</f>
        <v>243180</v>
      </c>
      <c r="H267" s="168">
        <f>E267*khoantructiep</f>
        <v>81060</v>
      </c>
      <c r="I267" s="168">
        <f>E267*KhongOndinhSX</f>
        <v>202650</v>
      </c>
      <c r="J267" s="168">
        <f>E267*thuhut</f>
        <v>0</v>
      </c>
      <c r="K267" s="168"/>
      <c r="L267" s="168"/>
      <c r="M267" s="168">
        <f>ROUND(SUM(E267:L267)/26,0)</f>
        <v>106284</v>
      </c>
    </row>
    <row r="268" spans="1:13" ht="18">
      <c r="A268" s="189"/>
      <c r="B268" s="189"/>
      <c r="C268" s="188" t="s">
        <v>1274</v>
      </c>
      <c r="D268" s="190">
        <v>2.18</v>
      </c>
      <c r="E268" s="172">
        <f>D268*LTT</f>
        <v>2289000</v>
      </c>
      <c r="F268" s="180">
        <f>$F$10</f>
        <v>210000</v>
      </c>
      <c r="G268" s="168">
        <f>E268*luongphu</f>
        <v>274680</v>
      </c>
      <c r="H268" s="168">
        <f>E268*khoantructiep</f>
        <v>91560</v>
      </c>
      <c r="I268" s="168">
        <f>E268*KhongOndinhSX</f>
        <v>228900</v>
      </c>
      <c r="J268" s="168">
        <f>E268*thuhut</f>
        <v>0</v>
      </c>
      <c r="K268" s="168"/>
      <c r="L268" s="168"/>
      <c r="M268" s="168">
        <f>ROUND(SUM(E268:L268)/26,0)</f>
        <v>119005</v>
      </c>
    </row>
    <row r="269" spans="1:13" ht="18">
      <c r="A269" s="189"/>
      <c r="B269" s="189"/>
      <c r="C269" s="188" t="s">
        <v>1275</v>
      </c>
      <c r="D269" s="190">
        <v>2.51</v>
      </c>
      <c r="E269" s="172">
        <f>D269*LTT</f>
        <v>2635500</v>
      </c>
      <c r="F269" s="180">
        <f>$F$10</f>
        <v>210000</v>
      </c>
      <c r="G269" s="168">
        <f>E269*luongphu</f>
        <v>316260</v>
      </c>
      <c r="H269" s="168">
        <f>E269*khoantructiep</f>
        <v>105420</v>
      </c>
      <c r="I269" s="168">
        <f>E269*KhongOndinhSX</f>
        <v>263550</v>
      </c>
      <c r="J269" s="168">
        <f>E269*thuhut</f>
        <v>0</v>
      </c>
      <c r="K269" s="168"/>
      <c r="L269" s="168"/>
      <c r="M269" s="168">
        <f>ROUND(SUM(E269:L269)/26,0)</f>
        <v>135797</v>
      </c>
    </row>
    <row r="270" spans="1:13" ht="18">
      <c r="A270" s="189"/>
      <c r="B270" s="189"/>
      <c r="C270" s="188" t="s">
        <v>1276</v>
      </c>
      <c r="D270" s="190">
        <v>2.83</v>
      </c>
      <c r="E270" s="172">
        <f>D270*LTT</f>
        <v>2971500</v>
      </c>
      <c r="F270" s="180">
        <f>$F$10</f>
        <v>210000</v>
      </c>
      <c r="G270" s="168">
        <f>E270*luongphu</f>
        <v>356580</v>
      </c>
      <c r="H270" s="168">
        <f>E270*khoantructiep</f>
        <v>118860</v>
      </c>
      <c r="I270" s="168">
        <f>E270*KhongOndinhSX</f>
        <v>297150</v>
      </c>
      <c r="J270" s="168">
        <f>E270*thuhut</f>
        <v>0</v>
      </c>
      <c r="K270" s="168"/>
      <c r="L270" s="168"/>
      <c r="M270" s="168">
        <f>ROUND(SUM(E270:L270)/26,0)</f>
        <v>152080</v>
      </c>
    </row>
    <row r="271" spans="1:13" ht="18">
      <c r="A271" s="173" t="s">
        <v>2695</v>
      </c>
      <c r="B271" s="173"/>
      <c r="C271" s="170"/>
      <c r="D271" s="170"/>
      <c r="E271" s="172"/>
      <c r="F271" s="172"/>
      <c r="G271" s="172"/>
      <c r="H271" s="172"/>
      <c r="I271" s="172"/>
      <c r="J271" s="172"/>
      <c r="K271" s="172"/>
      <c r="L271" s="172"/>
      <c r="M271" s="168"/>
    </row>
    <row r="272" spans="1:13" ht="18">
      <c r="A272" s="189"/>
      <c r="B272" s="189"/>
      <c r="C272" s="188" t="s">
        <v>1272</v>
      </c>
      <c r="D272" s="190">
        <v>1.55</v>
      </c>
      <c r="E272" s="172">
        <f>D272*LTT</f>
        <v>1627500</v>
      </c>
      <c r="F272" s="180">
        <f>$F$10</f>
        <v>210000</v>
      </c>
      <c r="G272" s="168">
        <f>E272*luongphu</f>
        <v>195300</v>
      </c>
      <c r="H272" s="168">
        <f>E272*khoantructiep</f>
        <v>65100</v>
      </c>
      <c r="I272" s="168">
        <f>E272*KhongOndinhSX</f>
        <v>162750</v>
      </c>
      <c r="J272" s="168">
        <f>E272*thuhut</f>
        <v>0</v>
      </c>
      <c r="K272" s="168"/>
      <c r="L272" s="168"/>
      <c r="M272" s="168">
        <f>ROUND(SUM(E272:L272)/26,0)</f>
        <v>86948</v>
      </c>
    </row>
    <row r="273" spans="1:13" ht="18">
      <c r="A273" s="189"/>
      <c r="B273" s="189"/>
      <c r="C273" s="188" t="s">
        <v>1274</v>
      </c>
      <c r="D273" s="190">
        <v>1.75</v>
      </c>
      <c r="E273" s="172">
        <f>D273*LTT</f>
        <v>1837500</v>
      </c>
      <c r="F273" s="180">
        <f>$F$10</f>
        <v>210000</v>
      </c>
      <c r="G273" s="168">
        <f>E273*luongphu</f>
        <v>220500</v>
      </c>
      <c r="H273" s="168">
        <f>E273*khoantructiep</f>
        <v>73500</v>
      </c>
      <c r="I273" s="168">
        <f>E273*KhongOndinhSX</f>
        <v>183750</v>
      </c>
      <c r="J273" s="168">
        <f>E273*thuhut</f>
        <v>0</v>
      </c>
      <c r="K273" s="168"/>
      <c r="L273" s="168"/>
      <c r="M273" s="168">
        <f>ROUND(SUM(E273:L273)/26,0)</f>
        <v>97125</v>
      </c>
    </row>
    <row r="274" spans="1:13" ht="18">
      <c r="A274" s="189"/>
      <c r="B274" s="189"/>
      <c r="C274" s="188" t="s">
        <v>1275</v>
      </c>
      <c r="D274" s="190">
        <v>2.05</v>
      </c>
      <c r="E274" s="172">
        <f>D274*LTT</f>
        <v>2152500</v>
      </c>
      <c r="F274" s="180">
        <f>$F$10</f>
        <v>210000</v>
      </c>
      <c r="G274" s="168">
        <f>E274*luongphu</f>
        <v>258300</v>
      </c>
      <c r="H274" s="168">
        <f>E274*khoantructiep</f>
        <v>86100</v>
      </c>
      <c r="I274" s="168">
        <f>E274*KhongOndinhSX</f>
        <v>215250</v>
      </c>
      <c r="J274" s="168">
        <f>E274*thuhut</f>
        <v>0</v>
      </c>
      <c r="K274" s="168"/>
      <c r="L274" s="168"/>
      <c r="M274" s="168">
        <f>ROUND(SUM(E274:L274)/26,0)</f>
        <v>112390</v>
      </c>
    </row>
    <row r="275" spans="1:13" ht="18">
      <c r="A275" s="189"/>
      <c r="B275" s="189"/>
      <c r="C275" s="188" t="s">
        <v>1276</v>
      </c>
      <c r="D275" s="190">
        <v>2.35</v>
      </c>
      <c r="E275" s="172">
        <f>D275*LTT</f>
        <v>2467500</v>
      </c>
      <c r="F275" s="180">
        <f>$F$10</f>
        <v>210000</v>
      </c>
      <c r="G275" s="168">
        <f>E275*luongphu</f>
        <v>296100</v>
      </c>
      <c r="H275" s="168">
        <f>E275*khoantructiep</f>
        <v>98700</v>
      </c>
      <c r="I275" s="168">
        <f>E275*KhongOndinhSX</f>
        <v>246750</v>
      </c>
      <c r="J275" s="168">
        <f>E275*thuhut</f>
        <v>0</v>
      </c>
      <c r="K275" s="168"/>
      <c r="L275" s="168"/>
      <c r="M275" s="168">
        <f>ROUND(SUM(E275:L275)/26,0)</f>
        <v>127656</v>
      </c>
    </row>
    <row r="276" spans="1:13" ht="18">
      <c r="A276" s="173" t="s">
        <v>2741</v>
      </c>
      <c r="B276" s="173"/>
      <c r="C276" s="170"/>
      <c r="D276" s="170"/>
      <c r="E276" s="172"/>
      <c r="F276" s="172"/>
      <c r="G276" s="172"/>
      <c r="H276" s="172"/>
      <c r="I276" s="172"/>
      <c r="J276" s="172"/>
      <c r="K276" s="172"/>
      <c r="L276" s="172"/>
      <c r="M276" s="168"/>
    </row>
    <row r="277" spans="1:13" ht="18">
      <c r="A277" s="189"/>
      <c r="B277" s="189"/>
      <c r="C277" s="188" t="s">
        <v>1272</v>
      </c>
      <c r="D277" s="190">
        <v>1.75</v>
      </c>
      <c r="E277" s="172">
        <f>D277*LTT</f>
        <v>1837500</v>
      </c>
      <c r="F277" s="180">
        <f>$F$10</f>
        <v>210000</v>
      </c>
      <c r="G277" s="168">
        <f>E277*luongphu</f>
        <v>220500</v>
      </c>
      <c r="H277" s="168">
        <f>E277*khoantructiep</f>
        <v>73500</v>
      </c>
      <c r="I277" s="168">
        <f>E277*KhongOndinhSX</f>
        <v>183750</v>
      </c>
      <c r="J277" s="168">
        <f>E277*thuhut</f>
        <v>0</v>
      </c>
      <c r="K277" s="168"/>
      <c r="L277" s="168"/>
      <c r="M277" s="168">
        <f>ROUND(SUM(E277:L277)/26,0)</f>
        <v>97125</v>
      </c>
    </row>
    <row r="278" spans="1:13" ht="18">
      <c r="A278" s="189"/>
      <c r="B278" s="189"/>
      <c r="C278" s="188" t="s">
        <v>1274</v>
      </c>
      <c r="D278" s="190">
        <v>1.99</v>
      </c>
      <c r="E278" s="172">
        <f>D278*LTT</f>
        <v>2089500</v>
      </c>
      <c r="F278" s="180">
        <f>$F$10</f>
        <v>210000</v>
      </c>
      <c r="G278" s="168">
        <f>E278*luongphu</f>
        <v>250740</v>
      </c>
      <c r="H278" s="168">
        <f>E278*khoantructiep</f>
        <v>83580</v>
      </c>
      <c r="I278" s="168">
        <f>E278*KhongOndinhSX</f>
        <v>208950</v>
      </c>
      <c r="J278" s="168">
        <f>E278*thuhut</f>
        <v>0</v>
      </c>
      <c r="K278" s="168"/>
      <c r="L278" s="168"/>
      <c r="M278" s="168">
        <f>ROUND(SUM(E278:L278)/26,0)</f>
        <v>109337</v>
      </c>
    </row>
    <row r="279" spans="1:13" ht="18">
      <c r="A279" s="189"/>
      <c r="B279" s="189"/>
      <c r="C279" s="188" t="s">
        <v>1275</v>
      </c>
      <c r="D279" s="190">
        <v>2.35</v>
      </c>
      <c r="E279" s="172">
        <f>D279*LTT</f>
        <v>2467500</v>
      </c>
      <c r="F279" s="180">
        <f>$F$10</f>
        <v>210000</v>
      </c>
      <c r="G279" s="168">
        <f>E279*luongphu</f>
        <v>296100</v>
      </c>
      <c r="H279" s="168">
        <f>E279*khoantructiep</f>
        <v>98700</v>
      </c>
      <c r="I279" s="168">
        <f>E279*KhongOndinhSX</f>
        <v>246750</v>
      </c>
      <c r="J279" s="168">
        <f>E279*thuhut</f>
        <v>0</v>
      </c>
      <c r="K279" s="168"/>
      <c r="L279" s="168"/>
      <c r="M279" s="168">
        <f>ROUND(SUM(E279:L279)/26,0)</f>
        <v>127656</v>
      </c>
    </row>
    <row r="280" spans="1:13" ht="18">
      <c r="A280" s="189"/>
      <c r="B280" s="189"/>
      <c r="C280" s="188" t="s">
        <v>1276</v>
      </c>
      <c r="D280" s="190">
        <v>2.66</v>
      </c>
      <c r="E280" s="172">
        <f>D280*LTT</f>
        <v>2793000</v>
      </c>
      <c r="F280" s="180">
        <f>$F$10</f>
        <v>210000</v>
      </c>
      <c r="G280" s="168">
        <f>E280*luongphu</f>
        <v>335160</v>
      </c>
      <c r="H280" s="168">
        <f>E280*khoantructiep</f>
        <v>111720</v>
      </c>
      <c r="I280" s="168">
        <f>E280*KhongOndinhSX</f>
        <v>279300</v>
      </c>
      <c r="J280" s="168">
        <f>E280*thuhut</f>
        <v>0</v>
      </c>
      <c r="K280" s="168"/>
      <c r="L280" s="168"/>
      <c r="M280" s="168">
        <f>ROUND(SUM(E280:L280)/26,0)</f>
        <v>143430</v>
      </c>
    </row>
    <row r="281" spans="1:13" ht="18">
      <c r="A281" s="169" t="s">
        <v>2742</v>
      </c>
      <c r="B281" s="169"/>
      <c r="C281" s="184"/>
      <c r="D281" s="184"/>
      <c r="E281" s="171"/>
      <c r="F281" s="171"/>
      <c r="G281" s="171"/>
      <c r="H281" s="172"/>
      <c r="I281" s="172"/>
      <c r="J281" s="172"/>
      <c r="K281" s="172"/>
      <c r="L281" s="172"/>
      <c r="M281" s="172"/>
    </row>
    <row r="282" spans="1:13" ht="18">
      <c r="A282" s="169" t="s">
        <v>2743</v>
      </c>
      <c r="B282" s="169"/>
      <c r="C282" s="184"/>
      <c r="D282" s="184"/>
      <c r="E282" s="171"/>
      <c r="F282" s="171"/>
      <c r="G282" s="171"/>
      <c r="H282" s="172"/>
      <c r="I282" s="172"/>
      <c r="J282" s="172"/>
      <c r="K282" s="172"/>
      <c r="L282" s="172"/>
      <c r="M282" s="172"/>
    </row>
    <row r="283" spans="1:13" ht="18">
      <c r="A283" s="187" t="s">
        <v>2729</v>
      </c>
      <c r="B283" s="187"/>
      <c r="C283" s="183"/>
      <c r="D283" s="186"/>
      <c r="E283" s="171"/>
      <c r="F283" s="171"/>
      <c r="G283" s="171"/>
      <c r="H283" s="171"/>
      <c r="I283" s="172"/>
      <c r="J283" s="172"/>
      <c r="K283" s="172"/>
      <c r="L283" s="172"/>
      <c r="M283" s="172"/>
    </row>
    <row r="284" spans="1:13" ht="18">
      <c r="A284" s="187" t="s">
        <v>2744</v>
      </c>
      <c r="B284" s="187"/>
      <c r="C284" s="183"/>
      <c r="D284" s="186"/>
      <c r="E284" s="171"/>
      <c r="F284" s="171"/>
      <c r="G284" s="171"/>
      <c r="H284" s="171"/>
      <c r="I284" s="172"/>
      <c r="J284" s="172"/>
      <c r="K284" s="172"/>
      <c r="L284" s="172"/>
      <c r="M284" s="172"/>
    </row>
    <row r="285" spans="1:13" ht="18">
      <c r="A285" s="173" t="s">
        <v>2718</v>
      </c>
      <c r="B285" s="173"/>
      <c r="C285" s="170"/>
      <c r="D285" s="170"/>
      <c r="E285" s="172"/>
      <c r="F285" s="172"/>
      <c r="G285" s="172"/>
      <c r="H285" s="172"/>
      <c r="I285" s="172"/>
      <c r="J285" s="172"/>
      <c r="K285" s="172"/>
      <c r="L285" s="172"/>
      <c r="M285" s="168"/>
    </row>
    <row r="286" spans="1:13" ht="18">
      <c r="A286" s="173" t="s">
        <v>2745</v>
      </c>
      <c r="B286" s="173"/>
      <c r="C286" s="170"/>
      <c r="D286" s="170"/>
      <c r="E286" s="172"/>
      <c r="F286" s="172"/>
      <c r="G286" s="172"/>
      <c r="H286" s="172"/>
      <c r="I286" s="172"/>
      <c r="J286" s="172"/>
      <c r="K286" s="172"/>
      <c r="L286" s="172"/>
      <c r="M286" s="168"/>
    </row>
    <row r="287" spans="1:13" ht="18">
      <c r="A287" s="173" t="s">
        <v>2746</v>
      </c>
      <c r="B287" s="173"/>
      <c r="C287" s="170"/>
      <c r="D287" s="170"/>
      <c r="E287" s="172"/>
      <c r="F287" s="172"/>
      <c r="G287" s="172"/>
      <c r="H287" s="172"/>
      <c r="I287" s="172"/>
      <c r="J287" s="172"/>
      <c r="K287" s="172"/>
      <c r="L287" s="172"/>
      <c r="M287" s="168"/>
    </row>
    <row r="288" spans="1:13" ht="18">
      <c r="A288" s="189"/>
      <c r="B288" s="189"/>
      <c r="C288" s="170"/>
      <c r="D288" s="190">
        <v>5.19</v>
      </c>
      <c r="E288" s="172">
        <f>D288*LTT</f>
        <v>5449500</v>
      </c>
      <c r="F288" s="180">
        <f>$F$10</f>
        <v>210000</v>
      </c>
      <c r="G288" s="168">
        <f>E288*luongphu</f>
        <v>653940</v>
      </c>
      <c r="H288" s="168">
        <f>E288*khoantructiep</f>
        <v>217980</v>
      </c>
      <c r="I288" s="168">
        <f>E288*KhongOndinhSX</f>
        <v>544950</v>
      </c>
      <c r="J288" s="168">
        <f>E288*thuhut</f>
        <v>0</v>
      </c>
      <c r="K288" s="168"/>
      <c r="L288" s="168"/>
      <c r="M288" s="168">
        <f>ROUND(SUM(E288:L288)/26,0)</f>
        <v>272168</v>
      </c>
    </row>
    <row r="289" spans="1:13" ht="18">
      <c r="A289" s="189"/>
      <c r="B289" s="189"/>
      <c r="C289" s="200"/>
      <c r="D289" s="190">
        <v>5.41</v>
      </c>
      <c r="E289" s="172">
        <f>D289*LTT</f>
        <v>5680500</v>
      </c>
      <c r="F289" s="180">
        <f>$F$10</f>
        <v>210000</v>
      </c>
      <c r="G289" s="168">
        <f>E289*luongphu</f>
        <v>681660</v>
      </c>
      <c r="H289" s="168">
        <f>E289*khoantructiep</f>
        <v>227220</v>
      </c>
      <c r="I289" s="168">
        <f>E289*KhongOndinhSX</f>
        <v>568050</v>
      </c>
      <c r="J289" s="168">
        <f>E289*thuhut</f>
        <v>0</v>
      </c>
      <c r="K289" s="168"/>
      <c r="L289" s="168"/>
      <c r="M289" s="168">
        <f>ROUND(SUM(E289:L289)/26,0)</f>
        <v>283363</v>
      </c>
    </row>
    <row r="290" spans="1:13" ht="18">
      <c r="A290" s="173" t="s">
        <v>2747</v>
      </c>
      <c r="B290" s="173"/>
      <c r="C290" s="201"/>
      <c r="D290" s="201"/>
      <c r="E290" s="191"/>
      <c r="F290" s="191"/>
      <c r="G290" s="168"/>
      <c r="H290" s="168"/>
      <c r="I290" s="168"/>
      <c r="J290" s="168"/>
      <c r="K290" s="168"/>
      <c r="L290" s="168"/>
      <c r="M290" s="168"/>
    </row>
    <row r="291" spans="1:13" ht="18">
      <c r="A291" s="189"/>
      <c r="B291" s="189"/>
      <c r="C291" s="170"/>
      <c r="D291" s="190">
        <v>5.41</v>
      </c>
      <c r="E291" s="172">
        <f>D291*LTT</f>
        <v>5680500</v>
      </c>
      <c r="F291" s="180">
        <f>$F$10</f>
        <v>210000</v>
      </c>
      <c r="G291" s="168">
        <f>E291*luongphu</f>
        <v>681660</v>
      </c>
      <c r="H291" s="168">
        <f>E291*khoantructiep</f>
        <v>227220</v>
      </c>
      <c r="I291" s="168">
        <f>E291*KhongOndinhSX</f>
        <v>568050</v>
      </c>
      <c r="J291" s="168">
        <f>E291*thuhut</f>
        <v>0</v>
      </c>
      <c r="K291" s="168"/>
      <c r="L291" s="168"/>
      <c r="M291" s="168">
        <f>ROUND(SUM(E291:L291)/26,0)</f>
        <v>283363</v>
      </c>
    </row>
    <row r="292" spans="1:13" ht="18">
      <c r="A292" s="189"/>
      <c r="B292" s="189"/>
      <c r="C292" s="188"/>
      <c r="D292" s="190">
        <v>5.75</v>
      </c>
      <c r="E292" s="172">
        <f>D292*LTT</f>
        <v>6037500</v>
      </c>
      <c r="F292" s="180">
        <f>$F$10</f>
        <v>210000</v>
      </c>
      <c r="G292" s="168">
        <f>E292*luongphu</f>
        <v>724500</v>
      </c>
      <c r="H292" s="168">
        <f>E292*khoantructiep</f>
        <v>241500</v>
      </c>
      <c r="I292" s="168">
        <f>E292*KhongOndinhSX</f>
        <v>603750</v>
      </c>
      <c r="J292" s="168">
        <f>E292*thuhut</f>
        <v>0</v>
      </c>
      <c r="K292" s="168"/>
      <c r="L292" s="168"/>
      <c r="M292" s="168">
        <f>ROUND(SUM(E292:L292)/26,0)</f>
        <v>300663</v>
      </c>
    </row>
    <row r="293" spans="1:13" ht="18">
      <c r="A293" s="173" t="s">
        <v>2748</v>
      </c>
      <c r="B293" s="173"/>
      <c r="C293" s="170"/>
      <c r="D293" s="170"/>
      <c r="E293" s="172"/>
      <c r="F293" s="172"/>
      <c r="G293" s="172"/>
      <c r="H293" s="172"/>
      <c r="I293" s="172"/>
      <c r="J293" s="172"/>
      <c r="K293" s="172"/>
      <c r="L293" s="172"/>
      <c r="M293" s="168"/>
    </row>
    <row r="294" spans="1:13" ht="18">
      <c r="A294" s="189"/>
      <c r="B294" s="189"/>
      <c r="C294" s="170"/>
      <c r="D294" s="190">
        <v>4.92</v>
      </c>
      <c r="E294" s="172">
        <f>D294*LTT</f>
        <v>5166000</v>
      </c>
      <c r="F294" s="180">
        <f>$F$10</f>
        <v>210000</v>
      </c>
      <c r="G294" s="168">
        <f>E294*luongphu</f>
        <v>619920</v>
      </c>
      <c r="H294" s="168">
        <f>E294*khoantructiep</f>
        <v>206640</v>
      </c>
      <c r="I294" s="168">
        <f>E294*KhongOndinhSX</f>
        <v>516600</v>
      </c>
      <c r="J294" s="168">
        <f>E294*thuhut</f>
        <v>0</v>
      </c>
      <c r="K294" s="168"/>
      <c r="L294" s="168"/>
      <c r="M294" s="168">
        <f>ROUND(SUM(E294:L294)/26,0)</f>
        <v>258429</v>
      </c>
    </row>
    <row r="295" spans="1:13" ht="18">
      <c r="A295" s="189"/>
      <c r="B295" s="189"/>
      <c r="C295" s="170"/>
      <c r="D295" s="190">
        <v>5.19</v>
      </c>
      <c r="E295" s="172">
        <f>D295*LTT</f>
        <v>5449500</v>
      </c>
      <c r="F295" s="180">
        <f>$F$10</f>
        <v>210000</v>
      </c>
      <c r="G295" s="168">
        <f>E295*luongphu</f>
        <v>653940</v>
      </c>
      <c r="H295" s="168">
        <f>E295*khoantructiep</f>
        <v>217980</v>
      </c>
      <c r="I295" s="168">
        <f>E295*KhongOndinhSX</f>
        <v>544950</v>
      </c>
      <c r="J295" s="168">
        <f>E295*thuhut</f>
        <v>0</v>
      </c>
      <c r="K295" s="168"/>
      <c r="L295" s="168"/>
      <c r="M295" s="168">
        <f>ROUND(SUM(E295:L295)/26,0)</f>
        <v>272168</v>
      </c>
    </row>
    <row r="296" spans="1:13" ht="18">
      <c r="A296" s="189"/>
      <c r="B296" s="189"/>
      <c r="C296" s="170"/>
      <c r="D296" s="190">
        <v>5.19</v>
      </c>
      <c r="E296" s="172">
        <f>D296*LTT</f>
        <v>5449500</v>
      </c>
      <c r="F296" s="180">
        <f>$F$10</f>
        <v>210000</v>
      </c>
      <c r="G296" s="168">
        <f>E296*luongphu</f>
        <v>653940</v>
      </c>
      <c r="H296" s="168">
        <f>E296*khoantructiep</f>
        <v>217980</v>
      </c>
      <c r="I296" s="168">
        <f>E296*KhongOndinhSX</f>
        <v>544950</v>
      </c>
      <c r="J296" s="168">
        <f>E296*thuhut</f>
        <v>0</v>
      </c>
      <c r="K296" s="168"/>
      <c r="L296" s="168"/>
      <c r="M296" s="168">
        <f>ROUND(SUM(E296:L296)/26,0)</f>
        <v>272168</v>
      </c>
    </row>
    <row r="297" spans="1:13" ht="18">
      <c r="A297" s="189"/>
      <c r="B297" s="189"/>
      <c r="C297" s="170"/>
      <c r="D297" s="190">
        <v>5.41</v>
      </c>
      <c r="E297" s="172">
        <f>D297*LTT</f>
        <v>5680500</v>
      </c>
      <c r="F297" s="180">
        <f>$F$10</f>
        <v>210000</v>
      </c>
      <c r="G297" s="168">
        <f>E297*luongphu</f>
        <v>681660</v>
      </c>
      <c r="H297" s="168">
        <f>E297*khoantructiep</f>
        <v>227220</v>
      </c>
      <c r="I297" s="168">
        <f>E297*KhongOndinhSX</f>
        <v>568050</v>
      </c>
      <c r="J297" s="168">
        <f>E297*thuhut</f>
        <v>0</v>
      </c>
      <c r="K297" s="168"/>
      <c r="L297" s="168"/>
      <c r="M297" s="168">
        <f>ROUND(SUM(E297:L297)/26,0)</f>
        <v>283363</v>
      </c>
    </row>
    <row r="298" spans="1:13" ht="18">
      <c r="A298" s="173" t="s">
        <v>1265</v>
      </c>
      <c r="B298" s="173"/>
      <c r="C298" s="170"/>
      <c r="D298" s="170"/>
      <c r="E298" s="172"/>
      <c r="F298" s="172"/>
      <c r="G298" s="172"/>
      <c r="H298" s="172"/>
      <c r="I298" s="172"/>
      <c r="J298" s="172"/>
      <c r="K298" s="172"/>
      <c r="L298" s="172"/>
      <c r="M298" s="168"/>
    </row>
    <row r="299" spans="1:13" ht="18">
      <c r="A299" s="173" t="s">
        <v>1266</v>
      </c>
      <c r="B299" s="173"/>
      <c r="C299" s="170"/>
      <c r="D299" s="170"/>
      <c r="E299" s="172"/>
      <c r="F299" s="172"/>
      <c r="G299" s="172"/>
      <c r="H299" s="172"/>
      <c r="I299" s="172"/>
      <c r="J299" s="172"/>
      <c r="K299" s="172"/>
      <c r="L299" s="172"/>
      <c r="M299" s="168"/>
    </row>
    <row r="300" spans="1:13" ht="18">
      <c r="A300" s="189"/>
      <c r="B300" s="189"/>
      <c r="C300" s="170"/>
      <c r="D300" s="190">
        <v>4.37</v>
      </c>
      <c r="E300" s="172">
        <f>D300*LTT</f>
        <v>4588500</v>
      </c>
      <c r="F300" s="180">
        <f>$F$10</f>
        <v>210000</v>
      </c>
      <c r="G300" s="168">
        <f>E300*luongphu</f>
        <v>550620</v>
      </c>
      <c r="H300" s="168">
        <f>E300*khoantructiep</f>
        <v>183540</v>
      </c>
      <c r="I300" s="168">
        <f>E300*KhongOndinhSX</f>
        <v>458850</v>
      </c>
      <c r="J300" s="168">
        <f>E300*thuhut</f>
        <v>0</v>
      </c>
      <c r="K300" s="168"/>
      <c r="L300" s="168"/>
      <c r="M300" s="168">
        <f>ROUND(SUM(E300:L300)/26,0)</f>
        <v>230443</v>
      </c>
    </row>
    <row r="301" spans="1:13" ht="18">
      <c r="A301" s="189"/>
      <c r="B301" s="189"/>
      <c r="C301" s="170"/>
      <c r="D301" s="190">
        <v>4.68</v>
      </c>
      <c r="E301" s="172">
        <f>D301*LTT</f>
        <v>4914000</v>
      </c>
      <c r="F301" s="180">
        <f>$F$10</f>
        <v>210000</v>
      </c>
      <c r="G301" s="168">
        <f>E301*luongphu</f>
        <v>589680</v>
      </c>
      <c r="H301" s="168">
        <f>E301*khoantructiep</f>
        <v>196560</v>
      </c>
      <c r="I301" s="168">
        <f>E301*KhongOndinhSX</f>
        <v>491400</v>
      </c>
      <c r="J301" s="168">
        <f>E301*thuhut</f>
        <v>0</v>
      </c>
      <c r="K301" s="168"/>
      <c r="L301" s="168"/>
      <c r="M301" s="168">
        <f>ROUND(SUM(E301:L301)/26,0)</f>
        <v>246217</v>
      </c>
    </row>
    <row r="302" spans="1:13" ht="18">
      <c r="A302" s="189"/>
      <c r="B302" s="189"/>
      <c r="C302" s="170"/>
      <c r="D302" s="190">
        <v>4.68</v>
      </c>
      <c r="E302" s="172">
        <f>D302*LTT</f>
        <v>4914000</v>
      </c>
      <c r="F302" s="180">
        <f>$F$10</f>
        <v>210000</v>
      </c>
      <c r="G302" s="168">
        <f>E302*luongphu</f>
        <v>589680</v>
      </c>
      <c r="H302" s="168">
        <f>E302*khoantructiep</f>
        <v>196560</v>
      </c>
      <c r="I302" s="168">
        <f>E302*KhongOndinhSX</f>
        <v>491400</v>
      </c>
      <c r="J302" s="168">
        <f>E302*thuhut</f>
        <v>0</v>
      </c>
      <c r="K302" s="168"/>
      <c r="L302" s="168"/>
      <c r="M302" s="168">
        <f>ROUND(SUM(E302:L302)/26,0)</f>
        <v>246217</v>
      </c>
    </row>
    <row r="303" spans="1:13" ht="18">
      <c r="A303" s="189"/>
      <c r="B303" s="189"/>
      <c r="C303" s="170"/>
      <c r="D303" s="190">
        <v>4.92</v>
      </c>
      <c r="E303" s="172">
        <f>D303*LTT</f>
        <v>5166000</v>
      </c>
      <c r="F303" s="180">
        <f>$F$10</f>
        <v>210000</v>
      </c>
      <c r="G303" s="168">
        <f>E303*luongphu</f>
        <v>619920</v>
      </c>
      <c r="H303" s="168">
        <f>E303*khoantructiep</f>
        <v>206640</v>
      </c>
      <c r="I303" s="168">
        <f>E303*KhongOndinhSX</f>
        <v>516600</v>
      </c>
      <c r="J303" s="168">
        <f>E303*thuhut</f>
        <v>0</v>
      </c>
      <c r="K303" s="168"/>
      <c r="L303" s="168"/>
      <c r="M303" s="168">
        <f>ROUND(SUM(E303:L303)/26,0)</f>
        <v>258429</v>
      </c>
    </row>
    <row r="304" spans="1:13" ht="18">
      <c r="A304" s="173" t="s">
        <v>865</v>
      </c>
      <c r="B304" s="173"/>
      <c r="C304" s="170"/>
      <c r="D304" s="170"/>
      <c r="E304" s="172"/>
      <c r="F304" s="172"/>
      <c r="G304" s="172"/>
      <c r="H304" s="172"/>
      <c r="I304" s="172"/>
      <c r="J304" s="172"/>
      <c r="K304" s="172"/>
      <c r="L304" s="172"/>
      <c r="M304" s="168"/>
    </row>
    <row r="305" spans="1:13" ht="18">
      <c r="A305" s="189"/>
      <c r="B305" s="189"/>
      <c r="C305" s="170"/>
      <c r="D305" s="190">
        <v>4.68</v>
      </c>
      <c r="E305" s="172">
        <f>D305*LTT</f>
        <v>4914000</v>
      </c>
      <c r="F305" s="191">
        <f>$F$10</f>
        <v>210000</v>
      </c>
      <c r="G305" s="168">
        <f>E305*luongphu</f>
        <v>589680</v>
      </c>
      <c r="H305" s="168">
        <f>E305*khoantructiep</f>
        <v>196560</v>
      </c>
      <c r="I305" s="168">
        <f>E305*KhongOndinhSX</f>
        <v>491400</v>
      </c>
      <c r="J305" s="168">
        <f>E305*thuhut</f>
        <v>0</v>
      </c>
      <c r="K305" s="168"/>
      <c r="L305" s="168"/>
      <c r="M305" s="168">
        <f>ROUND(SUM(E305:L305)/26,0)</f>
        <v>246217</v>
      </c>
    </row>
    <row r="306" spans="1:13" ht="18">
      <c r="A306" s="189"/>
      <c r="B306" s="189"/>
      <c r="C306" s="170"/>
      <c r="D306" s="190">
        <v>4.92</v>
      </c>
      <c r="E306" s="172">
        <f>D306*LTT</f>
        <v>5166000</v>
      </c>
      <c r="F306" s="191">
        <f>$F$10</f>
        <v>210000</v>
      </c>
      <c r="G306" s="168">
        <f>E306*luongphu</f>
        <v>619920</v>
      </c>
      <c r="H306" s="168">
        <f>E306*khoantructiep</f>
        <v>206640</v>
      </c>
      <c r="I306" s="168">
        <f>E306*KhongOndinhSX</f>
        <v>516600</v>
      </c>
      <c r="J306" s="168">
        <f>E306*thuhut</f>
        <v>0</v>
      </c>
      <c r="K306" s="168"/>
      <c r="L306" s="168"/>
      <c r="M306" s="168">
        <f>ROUND(SUM(E306:L306)/26,0)</f>
        <v>258429</v>
      </c>
    </row>
    <row r="307" spans="1:13" ht="18">
      <c r="A307" s="189"/>
      <c r="B307" s="189"/>
      <c r="C307" s="170"/>
      <c r="D307" s="190">
        <v>4.92</v>
      </c>
      <c r="E307" s="172">
        <f>D307*LTT</f>
        <v>5166000</v>
      </c>
      <c r="F307" s="191">
        <f>$F$10</f>
        <v>210000</v>
      </c>
      <c r="G307" s="168">
        <f>E307*luongphu</f>
        <v>619920</v>
      </c>
      <c r="H307" s="168">
        <f>E307*khoantructiep</f>
        <v>206640</v>
      </c>
      <c r="I307" s="168">
        <f>E307*KhongOndinhSX</f>
        <v>516600</v>
      </c>
      <c r="J307" s="168">
        <f>E307*thuhut</f>
        <v>0</v>
      </c>
      <c r="K307" s="168"/>
      <c r="L307" s="168"/>
      <c r="M307" s="168">
        <f>ROUND(SUM(E307:L307)/26,0)</f>
        <v>258429</v>
      </c>
    </row>
    <row r="308" spans="1:13" ht="18">
      <c r="A308" s="189"/>
      <c r="B308" s="189"/>
      <c r="C308" s="170"/>
      <c r="D308" s="190">
        <v>5.19</v>
      </c>
      <c r="E308" s="172">
        <f>D308*LTT</f>
        <v>5449500</v>
      </c>
      <c r="F308" s="191">
        <f>$F$10</f>
        <v>210000</v>
      </c>
      <c r="G308" s="168">
        <f>E308*luongphu</f>
        <v>653940</v>
      </c>
      <c r="H308" s="168">
        <f>E308*khoantructiep</f>
        <v>217980</v>
      </c>
      <c r="I308" s="168">
        <f>E308*KhongOndinhSX</f>
        <v>544950</v>
      </c>
      <c r="J308" s="168">
        <f>E308*thuhut</f>
        <v>0</v>
      </c>
      <c r="K308" s="168"/>
      <c r="L308" s="168"/>
      <c r="M308" s="168">
        <f>ROUND(SUM(E308:L308)/26,0)</f>
        <v>272168</v>
      </c>
    </row>
    <row r="309" spans="1:13" ht="18">
      <c r="A309" s="173" t="s">
        <v>866</v>
      </c>
      <c r="B309" s="173"/>
      <c r="C309" s="170"/>
      <c r="D309" s="170"/>
      <c r="E309" s="172"/>
      <c r="F309" s="172"/>
      <c r="G309" s="172"/>
      <c r="H309" s="172"/>
      <c r="I309" s="172"/>
      <c r="J309" s="172"/>
      <c r="K309" s="172"/>
      <c r="L309" s="172"/>
      <c r="M309" s="168"/>
    </row>
    <row r="310" spans="1:13" ht="18">
      <c r="A310" s="173" t="s">
        <v>867</v>
      </c>
      <c r="B310" s="173"/>
      <c r="C310" s="170"/>
      <c r="D310" s="170"/>
      <c r="E310" s="172"/>
      <c r="F310" s="172"/>
      <c r="G310" s="172"/>
      <c r="H310" s="172"/>
      <c r="I310" s="172"/>
      <c r="J310" s="172"/>
      <c r="K310" s="172"/>
      <c r="L310" s="172"/>
      <c r="M310" s="168"/>
    </row>
    <row r="311" spans="1:13" ht="18">
      <c r="A311" s="189"/>
      <c r="B311" s="189"/>
      <c r="C311" s="170"/>
      <c r="D311" s="190">
        <v>4.16</v>
      </c>
      <c r="E311" s="172">
        <f>D311*LTT</f>
        <v>4368000</v>
      </c>
      <c r="F311" s="191">
        <f>$F$10</f>
        <v>210000</v>
      </c>
      <c r="G311" s="168">
        <f>E311*luongphu</f>
        <v>524160</v>
      </c>
      <c r="H311" s="168">
        <f>E311*khoantructiep</f>
        <v>174720</v>
      </c>
      <c r="I311" s="168">
        <f>E311*KhongOndinhSX</f>
        <v>436800</v>
      </c>
      <c r="J311" s="168">
        <f>E311*thuhut</f>
        <v>0</v>
      </c>
      <c r="K311" s="168"/>
      <c r="L311" s="168"/>
      <c r="M311" s="168">
        <f>ROUND(SUM(E311:L311)/26,0)</f>
        <v>219757</v>
      </c>
    </row>
    <row r="312" spans="1:13" ht="18">
      <c r="A312" s="189"/>
      <c r="B312" s="189"/>
      <c r="C312" s="170"/>
      <c r="D312" s="190">
        <v>4.37</v>
      </c>
      <c r="E312" s="172">
        <f>D312*LTT</f>
        <v>4588500</v>
      </c>
      <c r="F312" s="191">
        <f>$F$10</f>
        <v>210000</v>
      </c>
      <c r="G312" s="168">
        <f>E312*luongphu</f>
        <v>550620</v>
      </c>
      <c r="H312" s="168">
        <f>E312*khoantructiep</f>
        <v>183540</v>
      </c>
      <c r="I312" s="168">
        <f>E312*KhongOndinhSX</f>
        <v>458850</v>
      </c>
      <c r="J312" s="168">
        <f>E312*thuhut</f>
        <v>0</v>
      </c>
      <c r="K312" s="168"/>
      <c r="L312" s="168"/>
      <c r="M312" s="168">
        <f>ROUND(SUM(E312:L312)/26,0)</f>
        <v>230443</v>
      </c>
    </row>
    <row r="313" spans="1:13" ht="18">
      <c r="A313" s="189"/>
      <c r="B313" s="189"/>
      <c r="C313" s="170"/>
      <c r="D313" s="190">
        <v>4.37</v>
      </c>
      <c r="E313" s="172">
        <f>D313*LTT</f>
        <v>4588500</v>
      </c>
      <c r="F313" s="191">
        <f>$F$10</f>
        <v>210000</v>
      </c>
      <c r="G313" s="168">
        <f>E313*luongphu</f>
        <v>550620</v>
      </c>
      <c r="H313" s="168">
        <f>E313*khoantructiep</f>
        <v>183540</v>
      </c>
      <c r="I313" s="168">
        <f>E313*KhongOndinhSX</f>
        <v>458850</v>
      </c>
      <c r="J313" s="168">
        <f>E313*thuhut</f>
        <v>0</v>
      </c>
      <c r="K313" s="168"/>
      <c r="L313" s="168"/>
      <c r="M313" s="168">
        <f>ROUND(SUM(E313:L313)/26,0)</f>
        <v>230443</v>
      </c>
    </row>
    <row r="314" spans="1:13" ht="18">
      <c r="A314" s="189"/>
      <c r="B314" s="189"/>
      <c r="C314" s="170"/>
      <c r="D314" s="190">
        <v>4.68</v>
      </c>
      <c r="E314" s="172">
        <f>D314*LTT</f>
        <v>4914000</v>
      </c>
      <c r="F314" s="191">
        <f>$F$10</f>
        <v>210000</v>
      </c>
      <c r="G314" s="168">
        <f>E314*luongphu</f>
        <v>589680</v>
      </c>
      <c r="H314" s="168">
        <f>E314*khoantructiep</f>
        <v>196560</v>
      </c>
      <c r="I314" s="168">
        <f>E314*KhongOndinhSX</f>
        <v>491400</v>
      </c>
      <c r="J314" s="168">
        <f>E314*thuhut</f>
        <v>0</v>
      </c>
      <c r="K314" s="168"/>
      <c r="L314" s="168"/>
      <c r="M314" s="168">
        <f>ROUND(SUM(E314:L314)/26,0)</f>
        <v>246217</v>
      </c>
    </row>
    <row r="315" spans="1:13" ht="18">
      <c r="A315" s="173" t="s">
        <v>868</v>
      </c>
      <c r="B315" s="173"/>
      <c r="C315" s="202"/>
      <c r="D315" s="170"/>
      <c r="E315" s="172"/>
      <c r="F315" s="172"/>
      <c r="G315" s="172"/>
      <c r="H315" s="172"/>
      <c r="I315" s="172"/>
      <c r="J315" s="172"/>
      <c r="K315" s="172"/>
      <c r="L315" s="172"/>
      <c r="M315" s="168"/>
    </row>
    <row r="316" spans="1:13" ht="18">
      <c r="A316" s="189"/>
      <c r="B316" s="189"/>
      <c r="C316" s="170"/>
      <c r="D316" s="190">
        <v>3.91</v>
      </c>
      <c r="E316" s="172">
        <f>D316*LTT</f>
        <v>4105500</v>
      </c>
      <c r="F316" s="191">
        <f>$F$10</f>
        <v>210000</v>
      </c>
      <c r="G316" s="168">
        <f>E316*luongphu</f>
        <v>492660</v>
      </c>
      <c r="H316" s="168">
        <f>E316*khoantructiep</f>
        <v>164220</v>
      </c>
      <c r="I316" s="168">
        <f>E316*KhongOndinhSX</f>
        <v>410550</v>
      </c>
      <c r="J316" s="168">
        <f>E316*thuhut</f>
        <v>0</v>
      </c>
      <c r="K316" s="168"/>
      <c r="L316" s="168"/>
      <c r="M316" s="168">
        <f>ROUND(SUM(E316:L316)/26,0)</f>
        <v>207036</v>
      </c>
    </row>
    <row r="317" spans="1:13" ht="18">
      <c r="A317" s="189"/>
      <c r="B317" s="189"/>
      <c r="C317" s="170"/>
      <c r="D317" s="190">
        <v>4.16</v>
      </c>
      <c r="E317" s="172">
        <f>D317*LTT</f>
        <v>4368000</v>
      </c>
      <c r="F317" s="191">
        <f>$F$10</f>
        <v>210000</v>
      </c>
      <c r="G317" s="168">
        <f>E317*luongphu</f>
        <v>524160</v>
      </c>
      <c r="H317" s="168">
        <f>E317*khoantructiep</f>
        <v>174720</v>
      </c>
      <c r="I317" s="168">
        <f>E317*KhongOndinhSX</f>
        <v>436800</v>
      </c>
      <c r="J317" s="168">
        <f>E317*thuhut</f>
        <v>0</v>
      </c>
      <c r="K317" s="168"/>
      <c r="L317" s="168"/>
      <c r="M317" s="168">
        <f>ROUND(SUM(E317:L317)/26,0)</f>
        <v>219757</v>
      </c>
    </row>
    <row r="318" spans="1:13" ht="18">
      <c r="A318" s="189"/>
      <c r="B318" s="189"/>
      <c r="C318" s="170"/>
      <c r="D318" s="190">
        <v>4.16</v>
      </c>
      <c r="E318" s="172">
        <f>D318*LTT</f>
        <v>4368000</v>
      </c>
      <c r="F318" s="191">
        <f>$F$10</f>
        <v>210000</v>
      </c>
      <c r="G318" s="168">
        <f>E318*luongphu</f>
        <v>524160</v>
      </c>
      <c r="H318" s="168">
        <f>E318*khoantructiep</f>
        <v>174720</v>
      </c>
      <c r="I318" s="168">
        <f>E318*KhongOndinhSX</f>
        <v>436800</v>
      </c>
      <c r="J318" s="168">
        <f>E318*thuhut</f>
        <v>0</v>
      </c>
      <c r="K318" s="168"/>
      <c r="L318" s="168"/>
      <c r="M318" s="168">
        <f>ROUND(SUM(E318:L318)/26,0)</f>
        <v>219757</v>
      </c>
    </row>
    <row r="319" spans="1:13" ht="18">
      <c r="A319" s="189"/>
      <c r="B319" s="189"/>
      <c r="C319" s="170"/>
      <c r="D319" s="190">
        <v>4.37</v>
      </c>
      <c r="E319" s="172">
        <f>D319*LTT</f>
        <v>4588500</v>
      </c>
      <c r="F319" s="191">
        <f>$F$10</f>
        <v>210000</v>
      </c>
      <c r="G319" s="168">
        <f>E319*luongphu</f>
        <v>550620</v>
      </c>
      <c r="H319" s="168">
        <f>E319*khoantructiep</f>
        <v>183540</v>
      </c>
      <c r="I319" s="168">
        <f>E319*KhongOndinhSX</f>
        <v>458850</v>
      </c>
      <c r="J319" s="168">
        <f>E319*thuhut</f>
        <v>0</v>
      </c>
      <c r="K319" s="168"/>
      <c r="L319" s="168"/>
      <c r="M319" s="168">
        <f>ROUND(SUM(E319:L319)/26,0)</f>
        <v>230443</v>
      </c>
    </row>
    <row r="320" spans="1:13" ht="18">
      <c r="A320" s="173" t="s">
        <v>2738</v>
      </c>
      <c r="B320" s="173"/>
      <c r="C320" s="202"/>
      <c r="D320" s="202"/>
      <c r="E320" s="203"/>
      <c r="F320" s="203"/>
      <c r="G320" s="172"/>
      <c r="H320" s="172"/>
      <c r="I320" s="172"/>
      <c r="J320" s="172"/>
      <c r="K320" s="172"/>
      <c r="L320" s="172"/>
      <c r="M320" s="168"/>
    </row>
    <row r="321" spans="1:13" ht="18">
      <c r="A321" s="189"/>
      <c r="B321" s="189"/>
      <c r="C321" s="170"/>
      <c r="D321" s="190">
        <v>3.5</v>
      </c>
      <c r="E321" s="172">
        <f>D321*LTT</f>
        <v>3675000</v>
      </c>
      <c r="F321" s="191">
        <f>$F$10</f>
        <v>210000</v>
      </c>
      <c r="G321" s="168">
        <f>E321*luongphu</f>
        <v>441000</v>
      </c>
      <c r="H321" s="168">
        <f>E321*khoantructiep</f>
        <v>147000</v>
      </c>
      <c r="I321" s="168">
        <f>E321*KhongOndinhSX</f>
        <v>367500</v>
      </c>
      <c r="J321" s="168">
        <f>E321*thuhut</f>
        <v>0</v>
      </c>
      <c r="K321" s="168"/>
      <c r="L321" s="168"/>
      <c r="M321" s="168">
        <f>ROUND(SUM(E321:L321)/26,0)</f>
        <v>186173</v>
      </c>
    </row>
    <row r="322" spans="1:13" ht="18">
      <c r="A322" s="189"/>
      <c r="B322" s="189"/>
      <c r="C322" s="170"/>
      <c r="D322" s="190">
        <v>3.73</v>
      </c>
      <c r="E322" s="172">
        <f>D322*LTT</f>
        <v>3916500</v>
      </c>
      <c r="F322" s="191">
        <f>$F$10</f>
        <v>210000</v>
      </c>
      <c r="G322" s="168">
        <f>E322*luongphu</f>
        <v>469980</v>
      </c>
      <c r="H322" s="168">
        <f>E322*khoantructiep</f>
        <v>156660</v>
      </c>
      <c r="I322" s="168">
        <f>E322*KhongOndinhSX</f>
        <v>391650</v>
      </c>
      <c r="J322" s="168">
        <f>E322*thuhut</f>
        <v>0</v>
      </c>
      <c r="K322" s="168"/>
      <c r="L322" s="168"/>
      <c r="M322" s="168">
        <f>ROUND(SUM(E322:L322)/26,0)</f>
        <v>197877</v>
      </c>
    </row>
    <row r="323" spans="1:13" ht="18">
      <c r="A323" s="189"/>
      <c r="B323" s="189"/>
      <c r="C323" s="170"/>
      <c r="D323" s="190">
        <v>3.73</v>
      </c>
      <c r="E323" s="172">
        <f>D323*LTT</f>
        <v>3916500</v>
      </c>
      <c r="F323" s="191">
        <f>$F$10</f>
        <v>210000</v>
      </c>
      <c r="G323" s="168">
        <f>E323*luongphu</f>
        <v>469980</v>
      </c>
      <c r="H323" s="168">
        <f>E323*khoantructiep</f>
        <v>156660</v>
      </c>
      <c r="I323" s="168">
        <f>E323*KhongOndinhSX</f>
        <v>391650</v>
      </c>
      <c r="J323" s="168">
        <f>E323*thuhut</f>
        <v>0</v>
      </c>
      <c r="K323" s="168"/>
      <c r="L323" s="168"/>
      <c r="M323" s="168">
        <f>ROUND(SUM(E323:L323)/26,0)</f>
        <v>197877</v>
      </c>
    </row>
    <row r="324" spans="1:13" ht="18">
      <c r="A324" s="189"/>
      <c r="B324" s="189"/>
      <c r="C324" s="170"/>
      <c r="D324" s="190">
        <v>3.91</v>
      </c>
      <c r="E324" s="172">
        <f>D324*LTT</f>
        <v>4105500</v>
      </c>
      <c r="F324" s="191">
        <f>$F$10</f>
        <v>210000</v>
      </c>
      <c r="G324" s="168">
        <f>E324*luongphu</f>
        <v>492660</v>
      </c>
      <c r="H324" s="168">
        <f>E324*khoantructiep</f>
        <v>164220</v>
      </c>
      <c r="I324" s="168">
        <f>E324*KhongOndinhSX</f>
        <v>410550</v>
      </c>
      <c r="J324" s="168">
        <f>E324*thuhut</f>
        <v>0</v>
      </c>
      <c r="K324" s="168"/>
      <c r="L324" s="168"/>
      <c r="M324" s="168">
        <f>ROUND(SUM(E324:L324)/26,0)</f>
        <v>207036</v>
      </c>
    </row>
    <row r="325" spans="1:13" ht="18">
      <c r="A325" s="173" t="s">
        <v>2684</v>
      </c>
      <c r="B325" s="173"/>
      <c r="C325" s="170"/>
      <c r="D325" s="170"/>
      <c r="E325" s="172"/>
      <c r="F325" s="172"/>
      <c r="G325" s="172"/>
      <c r="H325" s="172"/>
      <c r="I325" s="172"/>
      <c r="J325" s="172"/>
      <c r="K325" s="172"/>
      <c r="L325" s="172"/>
      <c r="M325" s="168"/>
    </row>
    <row r="326" spans="1:13" ht="18">
      <c r="A326" s="173" t="s">
        <v>2749</v>
      </c>
      <c r="B326" s="173"/>
      <c r="C326" s="170"/>
      <c r="D326" s="170"/>
      <c r="E326" s="172"/>
      <c r="F326" s="172"/>
      <c r="G326" s="172"/>
      <c r="H326" s="172"/>
      <c r="I326" s="172"/>
      <c r="J326" s="172"/>
      <c r="K326" s="172"/>
      <c r="L326" s="172"/>
      <c r="M326" s="168"/>
    </row>
    <row r="327" spans="1:13" ht="18">
      <c r="A327" s="189"/>
      <c r="B327" s="189"/>
      <c r="C327" s="170"/>
      <c r="D327" s="190">
        <v>2.51</v>
      </c>
      <c r="E327" s="172">
        <f>D327*LTT</f>
        <v>2635500</v>
      </c>
      <c r="F327" s="191">
        <f>$F$10</f>
        <v>210000</v>
      </c>
      <c r="G327" s="168">
        <f>E327*luongphu</f>
        <v>316260</v>
      </c>
      <c r="H327" s="168">
        <f>E327*khoantructiep</f>
        <v>105420</v>
      </c>
      <c r="I327" s="168">
        <f>E327*KhongOndinhSX</f>
        <v>263550</v>
      </c>
      <c r="J327" s="168">
        <f>E327*thuhut</f>
        <v>0</v>
      </c>
      <c r="K327" s="168"/>
      <c r="L327" s="168"/>
      <c r="M327" s="168">
        <f>ROUND(SUM(E327:L327)/26,0)</f>
        <v>135797</v>
      </c>
    </row>
    <row r="328" spans="1:13" ht="18">
      <c r="A328" s="189"/>
      <c r="B328" s="189"/>
      <c r="C328" s="170"/>
      <c r="D328" s="190">
        <v>2.83</v>
      </c>
      <c r="E328" s="172">
        <f>D328*LTT</f>
        <v>2971500</v>
      </c>
      <c r="F328" s="191">
        <f>$F$10</f>
        <v>210000</v>
      </c>
      <c r="G328" s="168">
        <f>E328*luongphu</f>
        <v>356580</v>
      </c>
      <c r="H328" s="168">
        <f>E328*khoantructiep</f>
        <v>118860</v>
      </c>
      <c r="I328" s="168">
        <f>E328*KhongOndinhSX</f>
        <v>297150</v>
      </c>
      <c r="J328" s="168">
        <f>E328*thuhut</f>
        <v>0</v>
      </c>
      <c r="K328" s="168"/>
      <c r="L328" s="168"/>
      <c r="M328" s="168">
        <f>ROUND(SUM(E328:L328)/26,0)</f>
        <v>152080</v>
      </c>
    </row>
    <row r="329" spans="1:13" ht="18">
      <c r="A329" s="189"/>
      <c r="B329" s="189"/>
      <c r="C329" s="170"/>
      <c r="D329" s="190">
        <v>3.28</v>
      </c>
      <c r="E329" s="172">
        <f>D329*LTT</f>
        <v>3444000</v>
      </c>
      <c r="F329" s="191">
        <f>$F$10</f>
        <v>210000</v>
      </c>
      <c r="G329" s="168">
        <f>E329*luongphu</f>
        <v>413280</v>
      </c>
      <c r="H329" s="168">
        <f>E329*khoantructiep</f>
        <v>137760</v>
      </c>
      <c r="I329" s="168">
        <f>E329*KhongOndinhSX</f>
        <v>344400</v>
      </c>
      <c r="J329" s="168">
        <f>E329*thuhut</f>
        <v>0</v>
      </c>
      <c r="K329" s="168"/>
      <c r="L329" s="168"/>
      <c r="M329" s="168">
        <f>ROUND(SUM(E329:L329)/26,0)</f>
        <v>174978</v>
      </c>
    </row>
    <row r="330" spans="1:13" ht="18">
      <c r="A330" s="189"/>
      <c r="B330" s="189"/>
      <c r="C330" s="170"/>
      <c r="D330" s="190">
        <v>3.91</v>
      </c>
      <c r="E330" s="172">
        <f>D330*LTT</f>
        <v>4105500</v>
      </c>
      <c r="F330" s="191">
        <f>$F$10</f>
        <v>210000</v>
      </c>
      <c r="G330" s="168">
        <f>E330*luongphu</f>
        <v>492660</v>
      </c>
      <c r="H330" s="168">
        <f>E330*khoantructiep</f>
        <v>164220</v>
      </c>
      <c r="I330" s="168">
        <f>E330*KhongOndinhSX</f>
        <v>410550</v>
      </c>
      <c r="J330" s="168">
        <f>E330*thuhut</f>
        <v>0</v>
      </c>
      <c r="K330" s="168"/>
      <c r="L330" s="168"/>
      <c r="M330" s="168">
        <f>ROUND(SUM(E330:L330)/26,0)</f>
        <v>207036</v>
      </c>
    </row>
    <row r="331" spans="1:13" ht="18">
      <c r="A331" s="173" t="s">
        <v>2750</v>
      </c>
      <c r="B331" s="173"/>
      <c r="C331" s="170"/>
      <c r="D331" s="170"/>
      <c r="E331" s="172"/>
      <c r="F331" s="172"/>
      <c r="G331" s="172"/>
      <c r="H331" s="172"/>
      <c r="I331" s="172"/>
      <c r="J331" s="172"/>
      <c r="K331" s="172"/>
      <c r="L331" s="172"/>
      <c r="M331" s="168"/>
    </row>
    <row r="332" spans="1:13" ht="18">
      <c r="A332" s="189"/>
      <c r="B332" s="189"/>
      <c r="C332" s="170"/>
      <c r="D332" s="190">
        <v>2.35</v>
      </c>
      <c r="E332" s="172">
        <f>D332*LTT</f>
        <v>2467500</v>
      </c>
      <c r="F332" s="191">
        <f>$F$10</f>
        <v>210000</v>
      </c>
      <c r="G332" s="168">
        <f>E332*luongphu</f>
        <v>296100</v>
      </c>
      <c r="H332" s="168">
        <f>E332*khoantructiep</f>
        <v>98700</v>
      </c>
      <c r="I332" s="168">
        <f>E332*KhongOndinhSX</f>
        <v>246750</v>
      </c>
      <c r="J332" s="168">
        <f>E332*thuhut</f>
        <v>0</v>
      </c>
      <c r="K332" s="168"/>
      <c r="L332" s="168"/>
      <c r="M332" s="168">
        <f>ROUND(SUM(E332:L332)/26,0)</f>
        <v>127656</v>
      </c>
    </row>
    <row r="333" spans="1:13" ht="18">
      <c r="A333" s="189"/>
      <c r="B333" s="189"/>
      <c r="C333" s="170"/>
      <c r="D333" s="190">
        <v>2.66</v>
      </c>
      <c r="E333" s="172">
        <f>D333*LTT</f>
        <v>2793000</v>
      </c>
      <c r="F333" s="191">
        <f>$F$10</f>
        <v>210000</v>
      </c>
      <c r="G333" s="168">
        <f>E333*luongphu</f>
        <v>335160</v>
      </c>
      <c r="H333" s="168">
        <f>E333*khoantructiep</f>
        <v>111720</v>
      </c>
      <c r="I333" s="168">
        <f>E333*KhongOndinhSX</f>
        <v>279300</v>
      </c>
      <c r="J333" s="168">
        <f>E333*thuhut</f>
        <v>0</v>
      </c>
      <c r="K333" s="168"/>
      <c r="L333" s="168"/>
      <c r="M333" s="168">
        <f>ROUND(SUM(E333:L333)/26,0)</f>
        <v>143430</v>
      </c>
    </row>
    <row r="334" spans="1:13" ht="18">
      <c r="A334" s="189"/>
      <c r="B334" s="189"/>
      <c r="C334" s="170"/>
      <c r="D334" s="190">
        <v>3.12</v>
      </c>
      <c r="E334" s="172">
        <f>D334*LTT</f>
        <v>3276000</v>
      </c>
      <c r="F334" s="191">
        <f>$F$10</f>
        <v>210000</v>
      </c>
      <c r="G334" s="168">
        <f>E334*luongphu</f>
        <v>393120</v>
      </c>
      <c r="H334" s="168">
        <f>E334*khoantructiep</f>
        <v>131040</v>
      </c>
      <c r="I334" s="168">
        <f>E334*KhongOndinhSX</f>
        <v>327600</v>
      </c>
      <c r="J334" s="168">
        <f>E334*thuhut</f>
        <v>0</v>
      </c>
      <c r="K334" s="168"/>
      <c r="L334" s="168"/>
      <c r="M334" s="168">
        <f>ROUND(SUM(E334:L334)/26,0)</f>
        <v>166837</v>
      </c>
    </row>
    <row r="335" spans="1:13" ht="18">
      <c r="A335" s="189"/>
      <c r="B335" s="189"/>
      <c r="C335" s="170"/>
      <c r="D335" s="190">
        <v>3.73</v>
      </c>
      <c r="E335" s="172">
        <f>D335*LTT</f>
        <v>3916500</v>
      </c>
      <c r="F335" s="191">
        <f>$F$10</f>
        <v>210000</v>
      </c>
      <c r="G335" s="168">
        <f>E335*luongphu</f>
        <v>469980</v>
      </c>
      <c r="H335" s="168">
        <f>E335*khoantructiep</f>
        <v>156660</v>
      </c>
      <c r="I335" s="168">
        <f>E335*KhongOndinhSX</f>
        <v>391650</v>
      </c>
      <c r="J335" s="168">
        <f>E335*thuhut</f>
        <v>0</v>
      </c>
      <c r="K335" s="168"/>
      <c r="L335" s="168"/>
      <c r="M335" s="168">
        <f>ROUND(SUM(E335:L335)/26,0)</f>
        <v>197877</v>
      </c>
    </row>
    <row r="336" spans="1:13" ht="18">
      <c r="A336" s="173" t="s">
        <v>2751</v>
      </c>
      <c r="B336" s="173"/>
      <c r="C336" s="170"/>
      <c r="D336" s="170"/>
      <c r="E336" s="172"/>
      <c r="F336" s="172"/>
      <c r="G336" s="172"/>
      <c r="H336" s="172"/>
      <c r="I336" s="172"/>
      <c r="J336" s="172"/>
      <c r="K336" s="172"/>
      <c r="L336" s="172"/>
      <c r="M336" s="168"/>
    </row>
    <row r="337" spans="1:13" ht="18">
      <c r="A337" s="189"/>
      <c r="B337" s="189"/>
      <c r="C337" s="170"/>
      <c r="D337" s="190">
        <v>2.18</v>
      </c>
      <c r="E337" s="172">
        <f>D337*LTT</f>
        <v>2289000</v>
      </c>
      <c r="F337" s="191">
        <f>$F$10</f>
        <v>210000</v>
      </c>
      <c r="G337" s="168">
        <f>E337*luongphu</f>
        <v>274680</v>
      </c>
      <c r="H337" s="168">
        <f>E337*khoantructiep</f>
        <v>91560</v>
      </c>
      <c r="I337" s="168">
        <f>E337*KhongOndinhSX</f>
        <v>228900</v>
      </c>
      <c r="J337" s="168">
        <f>E337*thuhut</f>
        <v>0</v>
      </c>
      <c r="K337" s="168"/>
      <c r="L337" s="168"/>
      <c r="M337" s="168">
        <f>ROUND(SUM(E337:L337)/26,0)</f>
        <v>119005</v>
      </c>
    </row>
    <row r="338" spans="1:13" ht="18">
      <c r="A338" s="189"/>
      <c r="B338" s="189"/>
      <c r="C338" s="170"/>
      <c r="D338" s="190">
        <v>2.59</v>
      </c>
      <c r="E338" s="172">
        <f>D338*LTT</f>
        <v>2719500</v>
      </c>
      <c r="F338" s="191">
        <f>$F$10</f>
        <v>210000</v>
      </c>
      <c r="G338" s="168">
        <f>E338*luongphu</f>
        <v>326340</v>
      </c>
      <c r="H338" s="168">
        <f>E338*khoantructiep</f>
        <v>108780</v>
      </c>
      <c r="I338" s="168">
        <f>E338*KhongOndinhSX</f>
        <v>271950</v>
      </c>
      <c r="J338" s="168">
        <f>E338*thuhut</f>
        <v>0</v>
      </c>
      <c r="K338" s="168"/>
      <c r="L338" s="168"/>
      <c r="M338" s="168">
        <f>ROUND(SUM(E338:L338)/26,0)</f>
        <v>139868</v>
      </c>
    </row>
    <row r="339" spans="1:13" ht="18">
      <c r="A339" s="189"/>
      <c r="B339" s="189"/>
      <c r="C339" s="170"/>
      <c r="D339" s="190">
        <v>3.08</v>
      </c>
      <c r="E339" s="172">
        <f>D339*LTT</f>
        <v>3234000</v>
      </c>
      <c r="F339" s="191">
        <f>$F$10</f>
        <v>210000</v>
      </c>
      <c r="G339" s="168">
        <f>E339*luongphu</f>
        <v>388080</v>
      </c>
      <c r="H339" s="168">
        <f>E339*khoantructiep</f>
        <v>129360</v>
      </c>
      <c r="I339" s="168">
        <f>E339*KhongOndinhSX</f>
        <v>323400</v>
      </c>
      <c r="J339" s="168">
        <f>E339*thuhut</f>
        <v>0</v>
      </c>
      <c r="K339" s="168"/>
      <c r="L339" s="168"/>
      <c r="M339" s="168">
        <f>ROUND(SUM(E339:L339)/26,0)</f>
        <v>164802</v>
      </c>
    </row>
    <row r="340" spans="1:13" ht="18">
      <c r="A340" s="189"/>
      <c r="B340" s="189"/>
      <c r="C340" s="170"/>
      <c r="D340" s="190">
        <v>3.73</v>
      </c>
      <c r="E340" s="172">
        <f>D340*LTT</f>
        <v>3916500</v>
      </c>
      <c r="F340" s="191">
        <f>$F$10</f>
        <v>210000</v>
      </c>
      <c r="G340" s="168">
        <f>E340*luongphu</f>
        <v>469980</v>
      </c>
      <c r="H340" s="168">
        <f>E340*khoantructiep</f>
        <v>156660</v>
      </c>
      <c r="I340" s="168">
        <f>E340*KhongOndinhSX</f>
        <v>391650</v>
      </c>
      <c r="J340" s="168">
        <f>E340*thuhut</f>
        <v>0</v>
      </c>
      <c r="K340" s="168"/>
      <c r="L340" s="168"/>
      <c r="M340" s="168">
        <f>ROUND(SUM(E340:L340)/26,0)</f>
        <v>197877</v>
      </c>
    </row>
    <row r="341" spans="1:13" ht="18">
      <c r="A341" s="173" t="s">
        <v>2689</v>
      </c>
      <c r="B341" s="173"/>
      <c r="C341" s="170"/>
      <c r="D341" s="170"/>
      <c r="E341" s="172"/>
      <c r="F341" s="172"/>
      <c r="G341" s="172"/>
      <c r="H341" s="172"/>
      <c r="I341" s="172"/>
      <c r="J341" s="172"/>
      <c r="K341" s="172"/>
      <c r="L341" s="172"/>
      <c r="M341" s="168"/>
    </row>
    <row r="342" spans="1:13" ht="18">
      <c r="A342" s="189"/>
      <c r="B342" s="189"/>
      <c r="C342" s="170"/>
      <c r="D342" s="204">
        <v>1.75</v>
      </c>
      <c r="E342" s="172">
        <f>D342*LTT</f>
        <v>1837500</v>
      </c>
      <c r="F342" s="191">
        <f>$F$10</f>
        <v>210000</v>
      </c>
      <c r="G342" s="168">
        <f>E342*luongphu</f>
        <v>220500</v>
      </c>
      <c r="H342" s="168">
        <f>E342*khoantructiep</f>
        <v>73500</v>
      </c>
      <c r="I342" s="168">
        <f>E342*KhongOndinhSX</f>
        <v>183750</v>
      </c>
      <c r="J342" s="168">
        <f>E342*thuhut</f>
        <v>0</v>
      </c>
      <c r="K342" s="168"/>
      <c r="L342" s="168"/>
      <c r="M342" s="168">
        <f>ROUND(SUM(E342:L342)/26,0)</f>
        <v>97125</v>
      </c>
    </row>
    <row r="343" spans="1:13" ht="18">
      <c r="A343" s="189"/>
      <c r="B343" s="189"/>
      <c r="C343" s="170"/>
      <c r="D343" s="204">
        <v>1.99</v>
      </c>
      <c r="E343" s="172">
        <f>D343*LTT</f>
        <v>2089500</v>
      </c>
      <c r="F343" s="191">
        <f>$F$10</f>
        <v>210000</v>
      </c>
      <c r="G343" s="168">
        <f>E343*luongphu</f>
        <v>250740</v>
      </c>
      <c r="H343" s="168">
        <f>E343*khoantructiep</f>
        <v>83580</v>
      </c>
      <c r="I343" s="168">
        <f>E343*KhongOndinhSX</f>
        <v>208950</v>
      </c>
      <c r="J343" s="168">
        <f>E343*thuhut</f>
        <v>0</v>
      </c>
      <c r="K343" s="168"/>
      <c r="L343" s="168"/>
      <c r="M343" s="168">
        <f>ROUND(SUM(E343:L343)/26,0)</f>
        <v>109337</v>
      </c>
    </row>
    <row r="344" spans="1:13" ht="18">
      <c r="A344" s="189"/>
      <c r="B344" s="189"/>
      <c r="C344" s="170"/>
      <c r="D344" s="204">
        <v>2.35</v>
      </c>
      <c r="E344" s="172">
        <f>D344*LTT</f>
        <v>2467500</v>
      </c>
      <c r="F344" s="191">
        <f>$F$10</f>
        <v>210000</v>
      </c>
      <c r="G344" s="168">
        <f>E344*luongphu</f>
        <v>296100</v>
      </c>
      <c r="H344" s="168">
        <f>E344*khoantructiep</f>
        <v>98700</v>
      </c>
      <c r="I344" s="168">
        <f>E344*KhongOndinhSX</f>
        <v>246750</v>
      </c>
      <c r="J344" s="168">
        <f>E344*thuhut</f>
        <v>0</v>
      </c>
      <c r="K344" s="168"/>
      <c r="L344" s="168"/>
      <c r="M344" s="168">
        <f>ROUND(SUM(E344:L344)/26,0)</f>
        <v>127656</v>
      </c>
    </row>
    <row r="345" spans="1:13" ht="18">
      <c r="A345" s="189"/>
      <c r="B345" s="189"/>
      <c r="C345" s="170"/>
      <c r="D345" s="204">
        <v>2.66</v>
      </c>
      <c r="E345" s="172">
        <f>D345*LTT</f>
        <v>2793000</v>
      </c>
      <c r="F345" s="191">
        <f>$F$10</f>
        <v>210000</v>
      </c>
      <c r="G345" s="168">
        <f>E345*luongphu</f>
        <v>335160</v>
      </c>
      <c r="H345" s="168">
        <f>E345*khoantructiep</f>
        <v>111720</v>
      </c>
      <c r="I345" s="168">
        <f>E345*KhongOndinhSX</f>
        <v>279300</v>
      </c>
      <c r="J345" s="168">
        <f>E345*thuhut</f>
        <v>0</v>
      </c>
      <c r="K345" s="168"/>
      <c r="L345" s="168"/>
      <c r="M345" s="168">
        <f>ROUND(SUM(E345:L345)/26,0)</f>
        <v>143430</v>
      </c>
    </row>
    <row r="346" spans="1:13" ht="18">
      <c r="A346" s="173" t="s">
        <v>2690</v>
      </c>
      <c r="B346" s="173"/>
      <c r="C346" s="170"/>
      <c r="D346" s="170"/>
      <c r="E346" s="172"/>
      <c r="F346" s="172"/>
      <c r="G346" s="172"/>
      <c r="H346" s="172"/>
      <c r="I346" s="172"/>
      <c r="J346" s="172"/>
      <c r="K346" s="172"/>
      <c r="L346" s="172"/>
      <c r="M346" s="168"/>
    </row>
    <row r="347" spans="1:13" ht="18">
      <c r="A347" s="189"/>
      <c r="B347" s="189"/>
      <c r="C347" s="170"/>
      <c r="D347" s="204">
        <v>1.93</v>
      </c>
      <c r="E347" s="172">
        <f>D347*LTT</f>
        <v>2026500</v>
      </c>
      <c r="F347" s="191">
        <f>$F$10</f>
        <v>210000</v>
      </c>
      <c r="G347" s="168">
        <f>E347*luongphu</f>
        <v>243180</v>
      </c>
      <c r="H347" s="168">
        <f>E347*khoantructiep</f>
        <v>81060</v>
      </c>
      <c r="I347" s="168">
        <f>E347*KhongOndinhSX</f>
        <v>202650</v>
      </c>
      <c r="J347" s="168">
        <f>E347*thuhut</f>
        <v>0</v>
      </c>
      <c r="K347" s="168"/>
      <c r="L347" s="168"/>
      <c r="M347" s="168">
        <f>ROUND(SUM(E347:L347)/26,0)</f>
        <v>106284</v>
      </c>
    </row>
    <row r="348" spans="1:13" ht="18">
      <c r="A348" s="189"/>
      <c r="B348" s="189"/>
      <c r="C348" s="170"/>
      <c r="D348" s="204">
        <v>2.38</v>
      </c>
      <c r="E348" s="172">
        <f>D348*LTT</f>
        <v>2499000</v>
      </c>
      <c r="F348" s="191">
        <f>$F$10</f>
        <v>210000</v>
      </c>
      <c r="G348" s="168">
        <f>E348*luongphu</f>
        <v>299880</v>
      </c>
      <c r="H348" s="168">
        <f>E348*khoantructiep</f>
        <v>99960</v>
      </c>
      <c r="I348" s="168">
        <f>E348*KhongOndinhSX</f>
        <v>249900</v>
      </c>
      <c r="J348" s="168">
        <f>E348*thuhut</f>
        <v>0</v>
      </c>
      <c r="K348" s="168"/>
      <c r="L348" s="168"/>
      <c r="M348" s="168">
        <f>ROUND(SUM(E348:L348)/26,0)</f>
        <v>129182</v>
      </c>
    </row>
    <row r="349" spans="1:13" ht="18">
      <c r="A349" s="189"/>
      <c r="B349" s="189"/>
      <c r="C349" s="170"/>
      <c r="D349" s="204">
        <v>2.74</v>
      </c>
      <c r="E349" s="172">
        <f>D349*LTT</f>
        <v>2877000</v>
      </c>
      <c r="F349" s="191">
        <f>$F$10</f>
        <v>210000</v>
      </c>
      <c r="G349" s="168">
        <f>E349*luongphu</f>
        <v>345240</v>
      </c>
      <c r="H349" s="168">
        <f>E349*khoantructiep</f>
        <v>115080</v>
      </c>
      <c r="I349" s="168">
        <f>E349*KhongOndinhSX</f>
        <v>287700</v>
      </c>
      <c r="J349" s="168">
        <f>E349*thuhut</f>
        <v>0</v>
      </c>
      <c r="K349" s="168"/>
      <c r="L349" s="168"/>
      <c r="M349" s="168">
        <f>ROUND(SUM(E349:L349)/26,0)</f>
        <v>147501</v>
      </c>
    </row>
    <row r="350" spans="1:13" ht="18">
      <c r="A350" s="205"/>
      <c r="B350" s="205"/>
      <c r="C350" s="206"/>
      <c r="D350" s="207">
        <v>3.15</v>
      </c>
      <c r="E350" s="208">
        <f>D350*LTT</f>
        <v>3307500</v>
      </c>
      <c r="F350" s="209">
        <f>$F$10</f>
        <v>210000</v>
      </c>
      <c r="G350" s="210">
        <f>E350*luongphu</f>
        <v>396900</v>
      </c>
      <c r="H350" s="210">
        <f>E350*khoantructiep</f>
        <v>132300</v>
      </c>
      <c r="I350" s="210">
        <f>E350*KhongOndinhSX</f>
        <v>330750</v>
      </c>
      <c r="J350" s="210">
        <f>E350*thuhut</f>
        <v>0</v>
      </c>
      <c r="K350" s="210"/>
      <c r="L350" s="210"/>
      <c r="M350" s="210">
        <f>ROUND(SUM(E350:L350)/26,0)</f>
        <v>168363</v>
      </c>
    </row>
  </sheetData>
  <sheetProtection insertColumns="0" insertRows="0" deleteColumns="0" deleteRows="0"/>
  <mergeCells count="7">
    <mergeCell ref="E12:E14"/>
    <mergeCell ref="F12:F14"/>
    <mergeCell ref="M12:M14"/>
    <mergeCell ref="A12:A14"/>
    <mergeCell ref="B12:B14"/>
    <mergeCell ref="C12:C14"/>
    <mergeCell ref="D12:D14"/>
  </mergeCells>
  <dataValidations count="2">
    <dataValidation allowBlank="1" showInputMessage="1" showErrorMessage="1" promptTitle="http://giaxaydung.vn/diendan" prompt="Các giá trị này đã được kết nối với DLdauvao." sqref="D219:H220 F81:L81 F70:L70"/>
    <dataValidation allowBlank="1" showInputMessage="1" showErrorMessage="1" prompt="26 ngày công/tháng" sqref="M12:M14"/>
  </dataValidations>
  <printOptions horizontalCentered="1"/>
  <pageMargins left="1" right="0.25" top="0.75" bottom="0.5" header="0.25" footer="0.25"/>
  <pageSetup horizontalDpi="600" verticalDpi="600" orientation="landscape" paperSize="9" r:id="rId3"/>
  <headerFooter alignWithMargins="0">
    <oddHeader>&amp;L&amp;"Times New Roman,nghiêng"&amp;9Dự toán GXD - www.giaxaydung.vn</oddHeader>
  </headerFooter>
  <legacyDrawing r:id="rId2"/>
</worksheet>
</file>

<file path=xl/worksheets/sheet4.xml><?xml version="1.0" encoding="utf-8"?>
<worksheet xmlns="http://schemas.openxmlformats.org/spreadsheetml/2006/main" xmlns:r="http://schemas.openxmlformats.org/officeDocument/2006/relationships">
  <sheetPr>
    <tabColor indexed="10"/>
  </sheetPr>
  <dimension ref="A2:F223"/>
  <sheetViews>
    <sheetView zoomScale="115" zoomScaleNormal="115" zoomScalePageLayoutView="0" workbookViewId="0" topLeftCell="A1">
      <selection activeCell="B25" sqref="B25"/>
    </sheetView>
  </sheetViews>
  <sheetFormatPr defaultColWidth="10.28125" defaultRowHeight="15"/>
  <cols>
    <col min="1" max="1" width="21.28125" style="154" customWidth="1"/>
    <col min="2" max="2" width="23.7109375" style="154" customWidth="1"/>
    <col min="3" max="3" width="10.28125" style="154" customWidth="1"/>
    <col min="4" max="4" width="18.00390625" style="224" customWidth="1"/>
    <col min="5" max="5" width="15.8515625" style="224" customWidth="1"/>
    <col min="6" max="6" width="11.8515625" style="154" bestFit="1" customWidth="1"/>
    <col min="7" max="16384" width="10.28125" style="154" customWidth="1"/>
  </cols>
  <sheetData>
    <row r="2" spans="1:5" ht="15.75">
      <c r="A2" s="215" t="s">
        <v>1576</v>
      </c>
      <c r="B2" s="215" t="s">
        <v>2752</v>
      </c>
      <c r="C2" s="215" t="s">
        <v>2753</v>
      </c>
      <c r="D2" s="215" t="s">
        <v>2754</v>
      </c>
      <c r="E2" s="215" t="s">
        <v>2755</v>
      </c>
    </row>
    <row r="3" spans="1:5" ht="15.75">
      <c r="A3" s="147" t="s">
        <v>2756</v>
      </c>
      <c r="B3" s="216"/>
      <c r="C3" s="216"/>
      <c r="D3" s="217"/>
      <c r="E3" s="218">
        <f>SUM(E4:E8)</f>
        <v>847858.8461538461</v>
      </c>
    </row>
    <row r="4" spans="1:5" ht="15.75">
      <c r="A4" s="150"/>
      <c r="B4" s="150" t="s">
        <v>2757</v>
      </c>
      <c r="C4" s="150">
        <v>1</v>
      </c>
      <c r="D4" s="219">
        <f>'Nhan cong'!M200</f>
        <v>143430</v>
      </c>
      <c r="E4" s="219">
        <f>D4*C4</f>
        <v>143430</v>
      </c>
    </row>
    <row r="5" spans="1:5" ht="15.75">
      <c r="A5" s="150"/>
      <c r="B5" s="150" t="s">
        <v>2758</v>
      </c>
      <c r="C5" s="150">
        <v>2</v>
      </c>
      <c r="D5" s="219">
        <f>'Nhan cong'!M162</f>
        <v>139359.23076923078</v>
      </c>
      <c r="E5" s="219">
        <f>D5*C5</f>
        <v>278718.46153846156</v>
      </c>
    </row>
    <row r="6" spans="1:5" ht="15.75">
      <c r="A6" s="150"/>
      <c r="B6" s="150" t="s">
        <v>2759</v>
      </c>
      <c r="C6" s="150">
        <v>1</v>
      </c>
      <c r="D6" s="219">
        <f>'Nhan cong'!M163</f>
        <v>156660</v>
      </c>
      <c r="E6" s="219">
        <f>D6*C6</f>
        <v>156660</v>
      </c>
    </row>
    <row r="7" spans="1:5" ht="15.75">
      <c r="A7" s="150"/>
      <c r="B7" s="150" t="s">
        <v>2760</v>
      </c>
      <c r="C7" s="150">
        <v>1</v>
      </c>
      <c r="D7" s="219">
        <f>'Nhan cong'!M162</f>
        <v>139359.23076923078</v>
      </c>
      <c r="E7" s="219">
        <f>D7*C7</f>
        <v>139359.23076923078</v>
      </c>
    </row>
    <row r="8" spans="1:5" ht="15.75">
      <c r="A8" s="150"/>
      <c r="B8" s="150" t="s">
        <v>2761</v>
      </c>
      <c r="C8" s="150">
        <v>1</v>
      </c>
      <c r="D8" s="219">
        <f>'Nhan cong'!M151</f>
        <v>129691.15384615384</v>
      </c>
      <c r="E8" s="219">
        <f>D8*C8</f>
        <v>129691.15384615384</v>
      </c>
    </row>
    <row r="9" spans="1:5" ht="15.75">
      <c r="A9" s="148" t="s">
        <v>2762</v>
      </c>
      <c r="B9" s="150"/>
      <c r="C9" s="150"/>
      <c r="D9" s="219"/>
      <c r="E9" s="220">
        <f>SUM(E10:E15)</f>
        <v>1366752.6923076923</v>
      </c>
    </row>
    <row r="10" spans="1:5" ht="15.75">
      <c r="A10" s="150"/>
      <c r="B10" s="150" t="s">
        <v>2763</v>
      </c>
      <c r="C10" s="150">
        <v>1</v>
      </c>
      <c r="D10" s="219">
        <f>'Nhan cong'!M184</f>
        <v>218739.23076923078</v>
      </c>
      <c r="E10" s="219">
        <f aca="true" t="shared" si="0" ref="E10:E15">D10*C10</f>
        <v>218739.23076923078</v>
      </c>
    </row>
    <row r="11" spans="1:5" ht="15.75">
      <c r="A11" s="150"/>
      <c r="B11" s="150" t="s">
        <v>2764</v>
      </c>
      <c r="C11" s="150">
        <v>1</v>
      </c>
      <c r="D11" s="219">
        <f>'Nhan cong'!M200</f>
        <v>143430</v>
      </c>
      <c r="E11" s="219">
        <f t="shared" si="0"/>
        <v>143430</v>
      </c>
    </row>
    <row r="12" spans="1:5" ht="15.75">
      <c r="A12" s="150"/>
      <c r="B12" s="150" t="s">
        <v>2758</v>
      </c>
      <c r="C12" s="150">
        <v>3</v>
      </c>
      <c r="D12" s="219">
        <f>'Nhan cong'!M124</f>
        <v>157168.84615384616</v>
      </c>
      <c r="E12" s="219">
        <f t="shared" si="0"/>
        <v>471506.5384615385</v>
      </c>
    </row>
    <row r="13" spans="1:5" ht="15.75">
      <c r="A13" s="150"/>
      <c r="B13" s="150" t="s">
        <v>2765</v>
      </c>
      <c r="C13" s="150">
        <v>1</v>
      </c>
      <c r="D13" s="219">
        <f>'Nhan cong'!M126</f>
        <v>219756.92307692306</v>
      </c>
      <c r="E13" s="219">
        <f t="shared" si="0"/>
        <v>219756.92307692306</v>
      </c>
    </row>
    <row r="14" spans="1:5" ht="15.75">
      <c r="A14" s="150"/>
      <c r="B14" s="150" t="s">
        <v>2766</v>
      </c>
      <c r="C14" s="150">
        <v>1</v>
      </c>
      <c r="D14" s="219">
        <f>'Nhan cong'!M130</f>
        <v>173451.92307692306</v>
      </c>
      <c r="E14" s="219">
        <f t="shared" si="0"/>
        <v>173451.92307692306</v>
      </c>
    </row>
    <row r="15" spans="1:5" ht="15.75">
      <c r="A15" s="150"/>
      <c r="B15" s="150" t="s">
        <v>2761</v>
      </c>
      <c r="C15" s="150">
        <v>1</v>
      </c>
      <c r="D15" s="219">
        <f>'Nhan cong'!M119</f>
        <v>139868.07692307694</v>
      </c>
      <c r="E15" s="219">
        <f t="shared" si="0"/>
        <v>139868.07692307694</v>
      </c>
    </row>
    <row r="16" spans="1:5" ht="15.75">
      <c r="A16" s="148" t="s">
        <v>2767</v>
      </c>
      <c r="B16" s="150"/>
      <c r="C16" s="150"/>
      <c r="D16" s="219"/>
      <c r="E16" s="220">
        <f>SUM(E17:E22)</f>
        <v>1291443.4615384615</v>
      </c>
    </row>
    <row r="17" spans="1:5" ht="15.75">
      <c r="A17" s="150"/>
      <c r="B17" s="150" t="s">
        <v>2768</v>
      </c>
      <c r="C17" s="150">
        <v>1</v>
      </c>
      <c r="D17" s="219">
        <f>'Nhan cong'!M180</f>
        <v>151062.6923076923</v>
      </c>
      <c r="E17" s="219">
        <f aca="true" t="shared" si="1" ref="E17:E22">D17*C17</f>
        <v>151062.6923076923</v>
      </c>
    </row>
    <row r="18" spans="1:5" ht="15.75">
      <c r="A18" s="150"/>
      <c r="B18" s="150" t="s">
        <v>2764</v>
      </c>
      <c r="C18" s="150">
        <v>1</v>
      </c>
      <c r="D18" s="219">
        <f>'Nhan cong'!M189</f>
        <v>135797.3076923077</v>
      </c>
      <c r="E18" s="219">
        <f t="shared" si="1"/>
        <v>135797.3076923077</v>
      </c>
    </row>
    <row r="19" spans="1:5" ht="15.75">
      <c r="A19" s="150"/>
      <c r="B19" s="150" t="s">
        <v>2758</v>
      </c>
      <c r="C19" s="150">
        <v>3</v>
      </c>
      <c r="D19" s="219">
        <f>'Nhan cong'!M124</f>
        <v>157168.84615384616</v>
      </c>
      <c r="E19" s="219">
        <f t="shared" si="1"/>
        <v>471506.5384615385</v>
      </c>
    </row>
    <row r="20" spans="1:5" ht="15.75">
      <c r="A20" s="150"/>
      <c r="B20" s="150" t="s">
        <v>2769</v>
      </c>
      <c r="C20" s="150">
        <v>1</v>
      </c>
      <c r="D20" s="219">
        <f>'Nhan cong'!M126</f>
        <v>219756.92307692306</v>
      </c>
      <c r="E20" s="219">
        <f t="shared" si="1"/>
        <v>219756.92307692306</v>
      </c>
    </row>
    <row r="21" spans="1:5" ht="15.75">
      <c r="A21" s="150"/>
      <c r="B21" s="150" t="s">
        <v>2770</v>
      </c>
      <c r="C21" s="150">
        <v>1</v>
      </c>
      <c r="D21" s="219">
        <f>'Nhan cong'!M130</f>
        <v>173451.92307692306</v>
      </c>
      <c r="E21" s="219">
        <f t="shared" si="1"/>
        <v>173451.92307692306</v>
      </c>
    </row>
    <row r="22" spans="1:5" ht="15.75">
      <c r="A22" s="150"/>
      <c r="B22" s="150" t="s">
        <v>2761</v>
      </c>
      <c r="C22" s="150">
        <v>1</v>
      </c>
      <c r="D22" s="219">
        <f>'Nhan cong'!M119</f>
        <v>139868.07692307694</v>
      </c>
      <c r="E22" s="219">
        <f t="shared" si="1"/>
        <v>139868.07692307694</v>
      </c>
    </row>
    <row r="23" spans="1:5" ht="15.75">
      <c r="A23" s="148" t="s">
        <v>2771</v>
      </c>
      <c r="B23" s="150"/>
      <c r="C23" s="150"/>
      <c r="D23" s="219"/>
      <c r="E23" s="220">
        <f>SUM(E24:E28)</f>
        <v>938433.4615384616</v>
      </c>
    </row>
    <row r="24" spans="1:5" ht="15.75">
      <c r="A24" s="150"/>
      <c r="B24" s="150" t="s">
        <v>2763</v>
      </c>
      <c r="C24" s="150">
        <v>1</v>
      </c>
      <c r="D24" s="219">
        <f>'Nhan cong'!M191</f>
        <v>169381.15384615384</v>
      </c>
      <c r="E24" s="219">
        <f>D24*C24</f>
        <v>169381.15384615384</v>
      </c>
    </row>
    <row r="25" spans="1:5" ht="15.75">
      <c r="A25" s="150"/>
      <c r="B25" s="150" t="s">
        <v>2758</v>
      </c>
      <c r="C25" s="150">
        <v>1</v>
      </c>
      <c r="D25" s="219">
        <f>'Nhan cong'!M124</f>
        <v>157168.84615384616</v>
      </c>
      <c r="E25" s="219">
        <f>D25*C25</f>
        <v>157168.84615384616</v>
      </c>
    </row>
    <row r="26" spans="1:5" ht="15.75">
      <c r="A26" s="150"/>
      <c r="B26" s="150" t="s">
        <v>2759</v>
      </c>
      <c r="C26" s="150">
        <v>1</v>
      </c>
      <c r="D26" s="219">
        <f>'Nhan cong'!M125</f>
        <v>185664.23076923078</v>
      </c>
      <c r="E26" s="219">
        <f>D26*C26</f>
        <v>185664.23076923078</v>
      </c>
    </row>
    <row r="27" spans="1:5" ht="15.75">
      <c r="A27" s="150"/>
      <c r="B27" s="150" t="s">
        <v>2760</v>
      </c>
      <c r="C27" s="150">
        <v>1</v>
      </c>
      <c r="D27" s="219">
        <f>'Nhan cong'!M129</f>
        <v>146483.07692307694</v>
      </c>
      <c r="E27" s="219">
        <f>D27*C27</f>
        <v>146483.07692307694</v>
      </c>
    </row>
    <row r="28" spans="1:5" ht="15.75">
      <c r="A28" s="150"/>
      <c r="B28" s="150" t="s">
        <v>2761</v>
      </c>
      <c r="C28" s="150">
        <v>2</v>
      </c>
      <c r="D28" s="219">
        <f>'Nhan cong'!M119</f>
        <v>139868.07692307694</v>
      </c>
      <c r="E28" s="219">
        <f>D28*C28</f>
        <v>279736.1538461539</v>
      </c>
    </row>
    <row r="29" spans="1:5" ht="15.75">
      <c r="A29" s="148" t="s">
        <v>2772</v>
      </c>
      <c r="B29" s="150"/>
      <c r="C29" s="150"/>
      <c r="D29" s="219"/>
      <c r="E29" s="220">
        <f>SUM(E30:E36)</f>
        <v>1193300.7692307692</v>
      </c>
    </row>
    <row r="30" spans="1:5" ht="15.75">
      <c r="A30" s="150"/>
      <c r="B30" s="150" t="s">
        <v>2773</v>
      </c>
      <c r="C30" s="150">
        <v>1</v>
      </c>
      <c r="D30" s="219">
        <f>'Nhan cong'!M183</f>
        <v>207035.76923076922</v>
      </c>
      <c r="E30" s="219">
        <f aca="true" t="shared" si="2" ref="E30:E36">D30*C30</f>
        <v>207035.76923076922</v>
      </c>
    </row>
    <row r="31" spans="1:5" ht="15.75">
      <c r="A31" s="150"/>
      <c r="B31" s="150" t="s">
        <v>2774</v>
      </c>
      <c r="C31" s="150">
        <v>1</v>
      </c>
      <c r="D31" s="219">
        <f>'Nhan cong'!M191</f>
        <v>169381.15384615384</v>
      </c>
      <c r="E31" s="219">
        <f t="shared" si="2"/>
        <v>169381.15384615384</v>
      </c>
    </row>
    <row r="32" spans="1:5" ht="15.75">
      <c r="A32" s="150"/>
      <c r="B32" s="150" t="s">
        <v>2775</v>
      </c>
      <c r="C32" s="150">
        <v>1</v>
      </c>
      <c r="D32" s="219">
        <f>'Nhan cong'!M191</f>
        <v>169381.15384615384</v>
      </c>
      <c r="E32" s="219">
        <f t="shared" si="2"/>
        <v>169381.15384615384</v>
      </c>
    </row>
    <row r="33" spans="1:5" ht="15.75">
      <c r="A33" s="150"/>
      <c r="B33" s="150" t="s">
        <v>2759</v>
      </c>
      <c r="C33" s="150">
        <v>1</v>
      </c>
      <c r="D33" s="219">
        <f>'Nhan cong'!M125</f>
        <v>185664.23076923078</v>
      </c>
      <c r="E33" s="219">
        <f t="shared" si="2"/>
        <v>185664.23076923078</v>
      </c>
    </row>
    <row r="34" spans="1:5" ht="15.75">
      <c r="A34" s="150"/>
      <c r="B34" s="150" t="s">
        <v>2758</v>
      </c>
      <c r="C34" s="150">
        <v>1</v>
      </c>
      <c r="D34" s="219">
        <f>'Nhan cong'!M124</f>
        <v>157168.84615384616</v>
      </c>
      <c r="E34" s="219">
        <f t="shared" si="2"/>
        <v>157168.84615384616</v>
      </c>
    </row>
    <row r="35" spans="1:5" ht="15.75">
      <c r="A35" s="150"/>
      <c r="B35" s="150" t="s">
        <v>2761</v>
      </c>
      <c r="C35" s="150">
        <v>1</v>
      </c>
      <c r="D35" s="219">
        <f>'Nhan cong'!M119</f>
        <v>139868.07692307694</v>
      </c>
      <c r="E35" s="219">
        <f t="shared" si="2"/>
        <v>139868.07692307694</v>
      </c>
    </row>
    <row r="36" spans="1:5" ht="15.75">
      <c r="A36" s="150"/>
      <c r="B36" s="150" t="s">
        <v>2776</v>
      </c>
      <c r="C36" s="150">
        <v>1</v>
      </c>
      <c r="D36" s="219">
        <f>'Nhan cong'!M120</f>
        <v>164801.53846153847</v>
      </c>
      <c r="E36" s="219">
        <f t="shared" si="2"/>
        <v>164801.53846153847</v>
      </c>
    </row>
    <row r="37" spans="1:6" ht="15.75">
      <c r="A37" s="148" t="s">
        <v>2777</v>
      </c>
      <c r="B37" s="150"/>
      <c r="C37" s="150"/>
      <c r="D37" s="219"/>
      <c r="E37" s="220">
        <f>SUM(E38:E44)</f>
        <v>1193300.7692307692</v>
      </c>
      <c r="F37" s="221"/>
    </row>
    <row r="38" spans="1:5" ht="15.75">
      <c r="A38" s="150"/>
      <c r="B38" s="150" t="s">
        <v>2773</v>
      </c>
      <c r="C38" s="150">
        <v>1</v>
      </c>
      <c r="D38" s="219">
        <f>'Nhan cong'!$M$183</f>
        <v>207035.76923076922</v>
      </c>
      <c r="E38" s="219">
        <f aca="true" t="shared" si="3" ref="E38:E44">D38*C38</f>
        <v>207035.76923076922</v>
      </c>
    </row>
    <row r="39" spans="1:5" ht="15.75">
      <c r="A39" s="150"/>
      <c r="B39" s="150" t="s">
        <v>2774</v>
      </c>
      <c r="C39" s="150">
        <v>1</v>
      </c>
      <c r="D39" s="219">
        <f>'Nhan cong'!M191</f>
        <v>169381.15384615384</v>
      </c>
      <c r="E39" s="219">
        <f t="shared" si="3"/>
        <v>169381.15384615384</v>
      </c>
    </row>
    <row r="40" spans="1:5" ht="15.75">
      <c r="A40" s="150"/>
      <c r="B40" s="150" t="s">
        <v>2775</v>
      </c>
      <c r="C40" s="150">
        <v>1</v>
      </c>
      <c r="D40" s="219">
        <f>'Nhan cong'!$M$191</f>
        <v>169381.15384615384</v>
      </c>
      <c r="E40" s="219">
        <f t="shared" si="3"/>
        <v>169381.15384615384</v>
      </c>
    </row>
    <row r="41" spans="1:5" ht="15.75">
      <c r="A41" s="150"/>
      <c r="B41" s="150" t="s">
        <v>2759</v>
      </c>
      <c r="C41" s="150">
        <v>1</v>
      </c>
      <c r="D41" s="219">
        <f>'Nhan cong'!M125</f>
        <v>185664.23076923078</v>
      </c>
      <c r="E41" s="219">
        <f t="shared" si="3"/>
        <v>185664.23076923078</v>
      </c>
    </row>
    <row r="42" spans="1:5" ht="15.75">
      <c r="A42" s="150"/>
      <c r="B42" s="150" t="s">
        <v>2758</v>
      </c>
      <c r="C42" s="150">
        <v>1</v>
      </c>
      <c r="D42" s="219">
        <f>'Nhan cong'!M124</f>
        <v>157168.84615384616</v>
      </c>
      <c r="E42" s="219">
        <f t="shared" si="3"/>
        <v>157168.84615384616</v>
      </c>
    </row>
    <row r="43" spans="1:5" ht="15.75">
      <c r="A43" s="150"/>
      <c r="B43" s="150" t="s">
        <v>2761</v>
      </c>
      <c r="C43" s="150">
        <v>1</v>
      </c>
      <c r="D43" s="219">
        <f>'Nhan cong'!M119</f>
        <v>139868.07692307694</v>
      </c>
      <c r="E43" s="219">
        <f t="shared" si="3"/>
        <v>139868.07692307694</v>
      </c>
    </row>
    <row r="44" spans="1:5" ht="15.75">
      <c r="A44" s="150"/>
      <c r="B44" s="150" t="s">
        <v>2776</v>
      </c>
      <c r="C44" s="150">
        <v>1</v>
      </c>
      <c r="D44" s="219">
        <f>'Nhan cong'!M120</f>
        <v>164801.53846153847</v>
      </c>
      <c r="E44" s="219">
        <f t="shared" si="3"/>
        <v>164801.53846153847</v>
      </c>
    </row>
    <row r="45" spans="1:5" ht="15.75">
      <c r="A45" s="148" t="s">
        <v>2778</v>
      </c>
      <c r="B45" s="150"/>
      <c r="C45" s="150"/>
      <c r="D45" s="219"/>
      <c r="E45" s="220">
        <f>SUM(E46:E52)</f>
        <v>1693302.6923076925</v>
      </c>
    </row>
    <row r="46" spans="1:5" ht="15.75">
      <c r="A46" s="150"/>
      <c r="B46" s="150" t="s">
        <v>2773</v>
      </c>
      <c r="C46" s="150">
        <v>1</v>
      </c>
      <c r="D46" s="219">
        <f>'Nhan cong'!M187</f>
        <v>258429.23076923078</v>
      </c>
      <c r="E46" s="219">
        <f aca="true" t="shared" si="4" ref="E46:E52">D46*C46</f>
        <v>258429.23076923078</v>
      </c>
    </row>
    <row r="47" spans="1:5" ht="15.75">
      <c r="A47" s="150"/>
      <c r="B47" s="150" t="s">
        <v>2779</v>
      </c>
      <c r="C47" s="150">
        <v>1</v>
      </c>
      <c r="D47" s="219">
        <f>'Nhan cong'!M196</f>
        <v>230442.6923076923</v>
      </c>
      <c r="E47" s="219">
        <f t="shared" si="4"/>
        <v>230442.6923076923</v>
      </c>
    </row>
    <row r="48" spans="1:5" ht="15.75">
      <c r="A48" s="150"/>
      <c r="B48" s="150" t="s">
        <v>2780</v>
      </c>
      <c r="C48" s="150">
        <v>1</v>
      </c>
      <c r="D48" s="219">
        <f>'Nhan cong'!M196</f>
        <v>230442.6923076923</v>
      </c>
      <c r="E48" s="219">
        <f t="shared" si="4"/>
        <v>230442.6923076923</v>
      </c>
    </row>
    <row r="49" spans="1:5" ht="15.75">
      <c r="A49" s="150"/>
      <c r="B49" s="150" t="s">
        <v>2759</v>
      </c>
      <c r="C49" s="150">
        <v>2</v>
      </c>
      <c r="D49" s="219">
        <f>'Nhan cong'!M158</f>
        <v>143430</v>
      </c>
      <c r="E49" s="219">
        <f t="shared" si="4"/>
        <v>286860</v>
      </c>
    </row>
    <row r="50" spans="1:5" ht="15.75">
      <c r="A50" s="150"/>
      <c r="B50" s="150" t="s">
        <v>2758</v>
      </c>
      <c r="C50" s="150">
        <v>1</v>
      </c>
      <c r="D50" s="219">
        <f>'Nhan cong'!M157</f>
        <v>127655.76923076923</v>
      </c>
      <c r="E50" s="219">
        <f t="shared" si="4"/>
        <v>127655.76923076923</v>
      </c>
    </row>
    <row r="51" spans="1:5" ht="15.75">
      <c r="A51" s="150"/>
      <c r="B51" s="150" t="s">
        <v>2776</v>
      </c>
      <c r="C51" s="150">
        <v>3</v>
      </c>
      <c r="D51" s="219">
        <f>'Nhan cong'!M147</f>
        <v>135797.3076923077</v>
      </c>
      <c r="E51" s="219">
        <f t="shared" si="4"/>
        <v>407391.92307692306</v>
      </c>
    </row>
    <row r="52" spans="1:5" ht="15.75">
      <c r="A52" s="150"/>
      <c r="B52" s="150" t="s">
        <v>2781</v>
      </c>
      <c r="C52" s="150">
        <v>1</v>
      </c>
      <c r="D52" s="219">
        <f>'Nhan cong'!M148</f>
        <v>152080.38461538462</v>
      </c>
      <c r="E52" s="219">
        <f t="shared" si="4"/>
        <v>152080.38461538462</v>
      </c>
    </row>
    <row r="53" spans="1:5" ht="15.75">
      <c r="A53" s="148" t="s">
        <v>2782</v>
      </c>
      <c r="B53" s="150"/>
      <c r="C53" s="150"/>
      <c r="D53" s="219"/>
      <c r="E53" s="220">
        <f>SUM(E54:E60)</f>
        <v>1940093.076923077</v>
      </c>
    </row>
    <row r="54" spans="1:5" ht="15.75">
      <c r="A54" s="150"/>
      <c r="B54" s="150" t="s">
        <v>2783</v>
      </c>
      <c r="C54" s="150">
        <v>1</v>
      </c>
      <c r="D54" s="219">
        <f>'Nhan cong'!M187</f>
        <v>258429.23076923078</v>
      </c>
      <c r="E54" s="219">
        <f aca="true" t="shared" si="5" ref="E54:E60">D54*C54</f>
        <v>258429.23076923078</v>
      </c>
    </row>
    <row r="55" spans="1:5" ht="15.75">
      <c r="A55" s="150"/>
      <c r="B55" s="150" t="s">
        <v>2779</v>
      </c>
      <c r="C55" s="150">
        <v>1</v>
      </c>
      <c r="D55" s="219">
        <f>'Nhan cong'!M196</f>
        <v>230442.6923076923</v>
      </c>
      <c r="E55" s="219">
        <f t="shared" si="5"/>
        <v>230442.6923076923</v>
      </c>
    </row>
    <row r="56" spans="1:5" ht="15.75">
      <c r="A56" s="150"/>
      <c r="B56" s="150" t="s">
        <v>2780</v>
      </c>
      <c r="C56" s="150">
        <v>1</v>
      </c>
      <c r="D56" s="219">
        <f>'Nhan cong'!M196</f>
        <v>230442.6923076923</v>
      </c>
      <c r="E56" s="219">
        <f t="shared" si="5"/>
        <v>230442.6923076923</v>
      </c>
    </row>
    <row r="57" spans="1:5" ht="15.75">
      <c r="A57" s="150"/>
      <c r="B57" s="150" t="s">
        <v>2784</v>
      </c>
      <c r="C57" s="150">
        <v>2</v>
      </c>
      <c r="D57" s="219">
        <f>'Nhan cong'!M125</f>
        <v>185664.23076923078</v>
      </c>
      <c r="E57" s="219">
        <f t="shared" si="5"/>
        <v>371328.46153846156</v>
      </c>
    </row>
    <row r="58" spans="1:5" ht="15.75">
      <c r="A58" s="150"/>
      <c r="B58" s="150" t="s">
        <v>2758</v>
      </c>
      <c r="C58" s="150">
        <v>1</v>
      </c>
      <c r="D58" s="219">
        <f>'Nhan cong'!M124</f>
        <v>157168.84615384616</v>
      </c>
      <c r="E58" s="219">
        <f t="shared" si="5"/>
        <v>157168.84615384616</v>
      </c>
    </row>
    <row r="59" spans="1:5" ht="15.75">
      <c r="A59" s="150"/>
      <c r="B59" s="150" t="s">
        <v>2776</v>
      </c>
      <c r="C59" s="150">
        <v>3</v>
      </c>
      <c r="D59" s="219">
        <f>'Nhan cong'!M120</f>
        <v>164801.53846153847</v>
      </c>
      <c r="E59" s="219">
        <f t="shared" si="5"/>
        <v>494404.6153846154</v>
      </c>
    </row>
    <row r="60" spans="1:5" ht="15.75">
      <c r="A60" s="150"/>
      <c r="B60" s="150" t="s">
        <v>2781</v>
      </c>
      <c r="C60" s="150">
        <v>1</v>
      </c>
      <c r="D60" s="219">
        <f>'Nhan cong'!M121</f>
        <v>197876.53846153847</v>
      </c>
      <c r="E60" s="219">
        <f t="shared" si="5"/>
        <v>197876.53846153847</v>
      </c>
    </row>
    <row r="61" spans="1:5" ht="15.75">
      <c r="A61" s="148" t="s">
        <v>2785</v>
      </c>
      <c r="B61" s="150"/>
      <c r="C61" s="150"/>
      <c r="D61" s="219"/>
      <c r="E61" s="220">
        <f>SUM(E62:E72)</f>
        <v>3157881.692307692</v>
      </c>
    </row>
    <row r="62" spans="1:5" ht="15.75">
      <c r="A62" s="150"/>
      <c r="B62" s="150" t="s">
        <v>2773</v>
      </c>
      <c r="C62" s="150">
        <v>1</v>
      </c>
      <c r="D62" s="219">
        <f>'Nhan cong'!M228</f>
        <v>272168</v>
      </c>
      <c r="E62" s="219">
        <f aca="true" t="shared" si="6" ref="E62:E72">D62*C62</f>
        <v>272168</v>
      </c>
    </row>
    <row r="63" spans="1:5" ht="15.75">
      <c r="A63" s="150"/>
      <c r="B63" s="150" t="s">
        <v>2786</v>
      </c>
      <c r="C63" s="150">
        <v>1</v>
      </c>
      <c r="D63" s="219">
        <f>'Nhan cong'!M196</f>
        <v>230442.6923076923</v>
      </c>
      <c r="E63" s="219">
        <f t="shared" si="6"/>
        <v>230442.6923076923</v>
      </c>
    </row>
    <row r="64" spans="1:5" ht="15.75">
      <c r="A64" s="150"/>
      <c r="B64" s="150" t="s">
        <v>2787</v>
      </c>
      <c r="C64" s="150">
        <v>1</v>
      </c>
      <c r="D64" s="219">
        <f>'Nhan cong'!M235</f>
        <v>266062</v>
      </c>
      <c r="E64" s="219">
        <f t="shared" si="6"/>
        <v>266062</v>
      </c>
    </row>
    <row r="65" spans="1:5" ht="15.75">
      <c r="A65" s="150"/>
      <c r="B65" s="150" t="s">
        <v>2788</v>
      </c>
      <c r="C65" s="150">
        <v>1</v>
      </c>
      <c r="D65" s="219">
        <f>'Nhan cong'!M246</f>
        <v>258429</v>
      </c>
      <c r="E65" s="219">
        <f t="shared" si="6"/>
        <v>258429</v>
      </c>
    </row>
    <row r="66" spans="1:5" ht="15.75">
      <c r="A66" s="150"/>
      <c r="B66" s="150" t="s">
        <v>2789</v>
      </c>
      <c r="C66" s="150">
        <v>1</v>
      </c>
      <c r="D66" s="219">
        <f>'Nhan cong'!M239</f>
        <v>229934</v>
      </c>
      <c r="E66" s="219">
        <f t="shared" si="6"/>
        <v>229934</v>
      </c>
    </row>
    <row r="67" spans="1:5" ht="15.75">
      <c r="A67" s="150"/>
      <c r="B67" s="150" t="s">
        <v>2790</v>
      </c>
      <c r="C67" s="150">
        <v>1</v>
      </c>
      <c r="D67" s="219">
        <f>'Nhan cong'!M246</f>
        <v>258429</v>
      </c>
      <c r="E67" s="219">
        <f t="shared" si="6"/>
        <v>258429</v>
      </c>
    </row>
    <row r="68" spans="1:5" ht="15.75">
      <c r="A68" s="150"/>
      <c r="B68" s="150" t="s">
        <v>2791</v>
      </c>
      <c r="C68" s="150">
        <v>2</v>
      </c>
      <c r="D68" s="219">
        <f>'Nhan cong'!M253</f>
        <v>246217</v>
      </c>
      <c r="E68" s="219">
        <f t="shared" si="6"/>
        <v>492434</v>
      </c>
    </row>
    <row r="69" spans="1:5" ht="15.75">
      <c r="A69" s="150"/>
      <c r="B69" s="150" t="s">
        <v>2784</v>
      </c>
      <c r="C69" s="150">
        <v>3</v>
      </c>
      <c r="D69" s="219">
        <f>'Nhan cong'!M264</f>
        <v>143430</v>
      </c>
      <c r="E69" s="219">
        <f t="shared" si="6"/>
        <v>430290</v>
      </c>
    </row>
    <row r="70" spans="1:5" ht="15.75">
      <c r="A70" s="150"/>
      <c r="B70" s="150" t="s">
        <v>2765</v>
      </c>
      <c r="C70" s="150">
        <v>1</v>
      </c>
      <c r="D70" s="219">
        <f>'Nhan cong'!M265</f>
        <v>160222</v>
      </c>
      <c r="E70" s="219">
        <f t="shared" si="6"/>
        <v>160222</v>
      </c>
    </row>
    <row r="71" spans="1:5" ht="15.75">
      <c r="A71" s="150"/>
      <c r="B71" s="150" t="s">
        <v>2776</v>
      </c>
      <c r="C71" s="150">
        <v>3</v>
      </c>
      <c r="D71" s="219">
        <f>'Nhan cong'!M269</f>
        <v>135797</v>
      </c>
      <c r="E71" s="219">
        <f t="shared" si="6"/>
        <v>407391</v>
      </c>
    </row>
    <row r="72" spans="1:5" ht="15.75">
      <c r="A72" s="150"/>
      <c r="B72" s="150" t="s">
        <v>2781</v>
      </c>
      <c r="C72" s="150">
        <v>1</v>
      </c>
      <c r="D72" s="219">
        <f>'Nhan cong'!M270</f>
        <v>152080</v>
      </c>
      <c r="E72" s="219">
        <f t="shared" si="6"/>
        <v>152080</v>
      </c>
    </row>
    <row r="73" spans="1:5" ht="15.75">
      <c r="A73" s="148" t="s">
        <v>2792</v>
      </c>
      <c r="B73" s="150"/>
      <c r="C73" s="150"/>
      <c r="D73" s="219"/>
      <c r="E73" s="220">
        <f>SUM(E74:E84)</f>
        <v>3543080</v>
      </c>
    </row>
    <row r="74" spans="1:5" ht="15.75">
      <c r="A74" s="150"/>
      <c r="B74" s="150" t="s">
        <v>2773</v>
      </c>
      <c r="C74" s="150">
        <v>1</v>
      </c>
      <c r="D74" s="219">
        <f>'Nhan cong'!M297</f>
        <v>283363</v>
      </c>
      <c r="E74" s="219">
        <f aca="true" t="shared" si="7" ref="E74:E84">D74*C74</f>
        <v>283363</v>
      </c>
    </row>
    <row r="75" spans="1:5" ht="15.75">
      <c r="A75" s="150"/>
      <c r="B75" s="150" t="s">
        <v>2786</v>
      </c>
      <c r="C75" s="150">
        <v>1</v>
      </c>
      <c r="D75" s="219">
        <f>'Nhan cong'!M314</f>
        <v>246217</v>
      </c>
      <c r="E75" s="219">
        <f t="shared" si="7"/>
        <v>246217</v>
      </c>
    </row>
    <row r="76" spans="1:5" ht="15.75">
      <c r="A76" s="150"/>
      <c r="B76" s="150" t="s">
        <v>2787</v>
      </c>
      <c r="C76" s="150">
        <v>1</v>
      </c>
      <c r="D76" s="219">
        <f>'Nhan cong'!M297</f>
        <v>283363</v>
      </c>
      <c r="E76" s="219">
        <f t="shared" si="7"/>
        <v>283363</v>
      </c>
    </row>
    <row r="77" spans="1:5" ht="15.75">
      <c r="A77" s="150"/>
      <c r="B77" s="150" t="s">
        <v>2788</v>
      </c>
      <c r="C77" s="150">
        <v>1</v>
      </c>
      <c r="D77" s="219">
        <f>'Nhan cong'!M308</f>
        <v>272168</v>
      </c>
      <c r="E77" s="219">
        <f t="shared" si="7"/>
        <v>272168</v>
      </c>
    </row>
    <row r="78" spans="1:5" ht="15.75">
      <c r="A78" s="150"/>
      <c r="B78" s="150" t="s">
        <v>2793</v>
      </c>
      <c r="C78" s="150">
        <v>1</v>
      </c>
      <c r="D78" s="219">
        <f>'Nhan cong'!M303</f>
        <v>258429</v>
      </c>
      <c r="E78" s="219">
        <f t="shared" si="7"/>
        <v>258429</v>
      </c>
    </row>
    <row r="79" spans="1:5" ht="15.75">
      <c r="A79" s="150"/>
      <c r="B79" s="150" t="s">
        <v>2790</v>
      </c>
      <c r="C79" s="150">
        <v>1</v>
      </c>
      <c r="D79" s="219">
        <f>'Nhan cong'!M303</f>
        <v>258429</v>
      </c>
      <c r="E79" s="219">
        <f t="shared" si="7"/>
        <v>258429</v>
      </c>
    </row>
    <row r="80" spans="1:5" ht="15.75">
      <c r="A80" s="150"/>
      <c r="B80" s="150" t="s">
        <v>2791</v>
      </c>
      <c r="C80" s="150">
        <v>2</v>
      </c>
      <c r="D80" s="219">
        <f>'Nhan cong'!M303</f>
        <v>258429</v>
      </c>
      <c r="E80" s="219">
        <f t="shared" si="7"/>
        <v>516858</v>
      </c>
    </row>
    <row r="81" spans="1:5" ht="15.75">
      <c r="A81" s="150"/>
      <c r="B81" s="150" t="s">
        <v>2759</v>
      </c>
      <c r="C81" s="150">
        <v>3</v>
      </c>
      <c r="D81" s="219">
        <f>'Nhan cong'!M329</f>
        <v>174978</v>
      </c>
      <c r="E81" s="219">
        <f t="shared" si="7"/>
        <v>524934</v>
      </c>
    </row>
    <row r="82" spans="1:5" ht="15.75">
      <c r="A82" s="150"/>
      <c r="B82" s="150" t="s">
        <v>2765</v>
      </c>
      <c r="C82" s="150">
        <v>1</v>
      </c>
      <c r="D82" s="219">
        <f>'Nhan cong'!M330</f>
        <v>207036</v>
      </c>
      <c r="E82" s="219">
        <f t="shared" si="7"/>
        <v>207036</v>
      </c>
    </row>
    <row r="83" spans="1:5" ht="15.75">
      <c r="A83" s="150"/>
      <c r="B83" s="150" t="s">
        <v>2776</v>
      </c>
      <c r="C83" s="150">
        <v>3</v>
      </c>
      <c r="D83" s="219">
        <f>'Nhan cong'!M339</f>
        <v>164802</v>
      </c>
      <c r="E83" s="219">
        <f t="shared" si="7"/>
        <v>494406</v>
      </c>
    </row>
    <row r="84" spans="1:5" ht="15.75">
      <c r="A84" s="150"/>
      <c r="B84" s="150" t="s">
        <v>2781</v>
      </c>
      <c r="C84" s="150">
        <v>1</v>
      </c>
      <c r="D84" s="219">
        <f>'Nhan cong'!M340</f>
        <v>197877</v>
      </c>
      <c r="E84" s="219">
        <f t="shared" si="7"/>
        <v>197877</v>
      </c>
    </row>
    <row r="85" spans="1:5" ht="15.75">
      <c r="A85" s="148" t="s">
        <v>2794</v>
      </c>
      <c r="B85" s="150"/>
      <c r="C85" s="150"/>
      <c r="D85" s="219"/>
      <c r="E85" s="220">
        <f>SUM(E86:E92)</f>
        <v>1309762</v>
      </c>
    </row>
    <row r="86" spans="1:5" ht="15.75">
      <c r="A86" s="150"/>
      <c r="B86" s="150" t="s">
        <v>2787</v>
      </c>
      <c r="C86" s="150">
        <v>1</v>
      </c>
      <c r="D86" s="219">
        <f>'Nhan cong'!M231</f>
        <v>197877</v>
      </c>
      <c r="E86" s="219">
        <f aca="true" t="shared" si="8" ref="E86:E92">C86*D86</f>
        <v>197877</v>
      </c>
    </row>
    <row r="87" spans="1:5" ht="15.75">
      <c r="A87" s="150"/>
      <c r="B87" s="150" t="s">
        <v>2790</v>
      </c>
      <c r="C87" s="150">
        <v>1</v>
      </c>
      <c r="D87" s="219">
        <f>'Nhan cong'!M242</f>
        <v>196859</v>
      </c>
      <c r="E87" s="219">
        <f t="shared" si="8"/>
        <v>196859</v>
      </c>
    </row>
    <row r="88" spans="1:5" ht="15.75">
      <c r="A88" s="150"/>
      <c r="B88" s="150" t="s">
        <v>2791</v>
      </c>
      <c r="C88" s="150">
        <v>2</v>
      </c>
      <c r="D88" s="219">
        <f>'Nhan cong'!M249</f>
        <v>186173</v>
      </c>
      <c r="E88" s="219">
        <f t="shared" si="8"/>
        <v>372346</v>
      </c>
    </row>
    <row r="89" spans="1:5" ht="15.75">
      <c r="A89" s="150"/>
      <c r="B89" s="150" t="s">
        <v>2758</v>
      </c>
      <c r="C89" s="150">
        <v>1</v>
      </c>
      <c r="D89" s="219">
        <f>'Nhan cong'!M263</f>
        <v>127656</v>
      </c>
      <c r="E89" s="219">
        <f t="shared" si="8"/>
        <v>127656</v>
      </c>
    </row>
    <row r="90" spans="1:5" ht="15.75">
      <c r="A90" s="150"/>
      <c r="B90" s="150" t="s">
        <v>2769</v>
      </c>
      <c r="C90" s="150">
        <v>1</v>
      </c>
      <c r="D90" s="219">
        <f>'Nhan cong'!M265</f>
        <v>160222</v>
      </c>
      <c r="E90" s="219">
        <f t="shared" si="8"/>
        <v>160222</v>
      </c>
    </row>
    <row r="91" spans="1:5" ht="15.75">
      <c r="A91" s="150"/>
      <c r="B91" s="150" t="s">
        <v>2776</v>
      </c>
      <c r="C91" s="150">
        <v>1</v>
      </c>
      <c r="D91" s="219">
        <f>'Nhan cong'!M269</f>
        <v>135797</v>
      </c>
      <c r="E91" s="219">
        <f t="shared" si="8"/>
        <v>135797</v>
      </c>
    </row>
    <row r="92" spans="1:5" ht="15.75">
      <c r="A92" s="150"/>
      <c r="B92" s="150" t="s">
        <v>2761</v>
      </c>
      <c r="C92" s="150">
        <v>1</v>
      </c>
      <c r="D92" s="219">
        <f>'Nhan cong'!M268</f>
        <v>119005</v>
      </c>
      <c r="E92" s="219">
        <f t="shared" si="8"/>
        <v>119005</v>
      </c>
    </row>
    <row r="93" spans="1:5" ht="15.75">
      <c r="A93" s="148" t="s">
        <v>2795</v>
      </c>
      <c r="B93" s="150"/>
      <c r="C93" s="150"/>
      <c r="D93" s="219"/>
      <c r="E93" s="220">
        <f>SUM(E94:E102)</f>
        <v>1660293</v>
      </c>
    </row>
    <row r="94" spans="1:5" ht="15.75">
      <c r="A94" s="150"/>
      <c r="B94" s="150" t="s">
        <v>2763</v>
      </c>
      <c r="C94" s="150">
        <v>1</v>
      </c>
      <c r="D94" s="219">
        <f>'Nhan cong'!M224</f>
        <v>230443</v>
      </c>
      <c r="E94" s="219">
        <f aca="true" t="shared" si="9" ref="E94:E102">C94*D94</f>
        <v>230443</v>
      </c>
    </row>
    <row r="95" spans="1:5" ht="15.75">
      <c r="A95" s="150"/>
      <c r="B95" s="150" t="s">
        <v>2796</v>
      </c>
      <c r="C95" s="150">
        <v>1</v>
      </c>
      <c r="D95" s="219">
        <f>'Nhan cong'!M316</f>
        <v>207036</v>
      </c>
      <c r="E95" s="219">
        <f t="shared" si="9"/>
        <v>207036</v>
      </c>
    </row>
    <row r="96" spans="1:5" ht="15.75">
      <c r="A96" s="150"/>
      <c r="B96" s="150" t="s">
        <v>2787</v>
      </c>
      <c r="C96" s="150">
        <v>1</v>
      </c>
      <c r="D96" s="219">
        <f>'Nhan cong'!M233</f>
        <v>230443</v>
      </c>
      <c r="E96" s="219">
        <f t="shared" si="9"/>
        <v>230443</v>
      </c>
    </row>
    <row r="97" spans="1:5" ht="15.75">
      <c r="A97" s="150"/>
      <c r="B97" s="150" t="s">
        <v>2790</v>
      </c>
      <c r="C97" s="150">
        <v>1</v>
      </c>
      <c r="D97" s="219">
        <f>'Nhan cong'!M244</f>
        <v>226881</v>
      </c>
      <c r="E97" s="219">
        <f t="shared" si="9"/>
        <v>226881</v>
      </c>
    </row>
    <row r="98" spans="1:5" ht="15.75">
      <c r="A98" s="150"/>
      <c r="B98" s="150" t="s">
        <v>2791</v>
      </c>
      <c r="C98" s="150">
        <v>1</v>
      </c>
      <c r="D98" s="219">
        <f>'Nhan cong'!M251</f>
        <v>207036</v>
      </c>
      <c r="E98" s="219">
        <f t="shared" si="9"/>
        <v>207036</v>
      </c>
    </row>
    <row r="99" spans="1:5" ht="15.75">
      <c r="A99" s="150"/>
      <c r="B99" s="150" t="s">
        <v>2759</v>
      </c>
      <c r="C99" s="150">
        <v>1</v>
      </c>
      <c r="D99" s="219">
        <f>'Nhan cong'!M264</f>
        <v>143430</v>
      </c>
      <c r="E99" s="219">
        <f t="shared" si="9"/>
        <v>143430</v>
      </c>
    </row>
    <row r="100" spans="1:5" ht="15.75">
      <c r="A100" s="150"/>
      <c r="B100" s="150" t="s">
        <v>2765</v>
      </c>
      <c r="C100" s="150">
        <v>1</v>
      </c>
      <c r="D100" s="219">
        <f>'Nhan cong'!M265</f>
        <v>160222</v>
      </c>
      <c r="E100" s="219">
        <f t="shared" si="9"/>
        <v>160222</v>
      </c>
    </row>
    <row r="101" spans="1:5" ht="15.75">
      <c r="A101" s="150"/>
      <c r="B101" s="150" t="s">
        <v>2761</v>
      </c>
      <c r="C101" s="150">
        <v>1</v>
      </c>
      <c r="D101" s="219">
        <f>'Nhan cong'!M268</f>
        <v>119005</v>
      </c>
      <c r="E101" s="219">
        <f t="shared" si="9"/>
        <v>119005</v>
      </c>
    </row>
    <row r="102" spans="1:5" ht="15.75">
      <c r="A102" s="150"/>
      <c r="B102" s="150" t="s">
        <v>2776</v>
      </c>
      <c r="C102" s="150">
        <v>1</v>
      </c>
      <c r="D102" s="219">
        <f>'Nhan cong'!M269</f>
        <v>135797</v>
      </c>
      <c r="E102" s="219">
        <f t="shared" si="9"/>
        <v>135797</v>
      </c>
    </row>
    <row r="103" spans="1:5" ht="15.75">
      <c r="A103" s="148" t="s">
        <v>2797</v>
      </c>
      <c r="B103" s="150"/>
      <c r="C103" s="150"/>
      <c r="D103" s="219"/>
      <c r="E103" s="220">
        <f>SUM(E104:E113)</f>
        <v>2371464</v>
      </c>
    </row>
    <row r="104" spans="1:5" ht="15.75">
      <c r="A104" s="150"/>
      <c r="B104" s="150" t="s">
        <v>2773</v>
      </c>
      <c r="C104" s="150">
        <v>1</v>
      </c>
      <c r="D104" s="219">
        <f>'Nhan cong'!M228</f>
        <v>272168</v>
      </c>
      <c r="E104" s="219">
        <f aca="true" t="shared" si="10" ref="E104:E113">C104*D104</f>
        <v>272168</v>
      </c>
    </row>
    <row r="105" spans="1:5" ht="15.75">
      <c r="A105" s="150"/>
      <c r="B105" s="150" t="s">
        <v>2786</v>
      </c>
      <c r="C105" s="150">
        <v>1</v>
      </c>
      <c r="D105" s="219">
        <f>D95</f>
        <v>207036</v>
      </c>
      <c r="E105" s="219">
        <f t="shared" si="10"/>
        <v>207036</v>
      </c>
    </row>
    <row r="106" spans="1:5" ht="15.75">
      <c r="A106" s="150"/>
      <c r="B106" s="150" t="s">
        <v>2787</v>
      </c>
      <c r="C106" s="150">
        <v>1</v>
      </c>
      <c r="D106" s="219">
        <f>'Nhan cong'!M235</f>
        <v>266062</v>
      </c>
      <c r="E106" s="219">
        <f t="shared" si="10"/>
        <v>266062</v>
      </c>
    </row>
    <row r="107" spans="1:5" ht="15.75">
      <c r="A107" s="150"/>
      <c r="B107" s="150" t="s">
        <v>2788</v>
      </c>
      <c r="C107" s="150">
        <v>1</v>
      </c>
      <c r="D107" s="219">
        <f>'Nhan cong'!M246</f>
        <v>258429</v>
      </c>
      <c r="E107" s="219">
        <f t="shared" si="10"/>
        <v>258429</v>
      </c>
    </row>
    <row r="108" spans="1:5" ht="15.75">
      <c r="A108" s="150"/>
      <c r="B108" s="150" t="s">
        <v>2790</v>
      </c>
      <c r="C108" s="150">
        <v>1</v>
      </c>
      <c r="D108" s="219">
        <f>'Nhan cong'!M246</f>
        <v>258429</v>
      </c>
      <c r="E108" s="219">
        <f t="shared" si="10"/>
        <v>258429</v>
      </c>
    </row>
    <row r="109" spans="1:5" ht="15.75">
      <c r="A109" s="150"/>
      <c r="B109" s="150" t="s">
        <v>2791</v>
      </c>
      <c r="C109" s="150">
        <v>1</v>
      </c>
      <c r="D109" s="219">
        <f>'Nhan cong'!M253</f>
        <v>246217</v>
      </c>
      <c r="E109" s="219">
        <f t="shared" si="10"/>
        <v>246217</v>
      </c>
    </row>
    <row r="110" spans="1:5" ht="15.75">
      <c r="A110" s="150"/>
      <c r="B110" s="150" t="s">
        <v>2759</v>
      </c>
      <c r="C110" s="150">
        <v>1</v>
      </c>
      <c r="D110" s="219">
        <f>'Nhan cong'!M264</f>
        <v>143430</v>
      </c>
      <c r="E110" s="219">
        <f t="shared" si="10"/>
        <v>143430</v>
      </c>
    </row>
    <row r="111" spans="1:5" ht="15.75">
      <c r="A111" s="150"/>
      <c r="B111" s="150" t="s">
        <v>2765</v>
      </c>
      <c r="C111" s="150">
        <v>1</v>
      </c>
      <c r="D111" s="219">
        <f>'Nhan cong'!M265</f>
        <v>160222</v>
      </c>
      <c r="E111" s="219">
        <f t="shared" si="10"/>
        <v>160222</v>
      </c>
    </row>
    <row r="112" spans="1:5" ht="15.75">
      <c r="A112" s="150"/>
      <c r="B112" s="150" t="s">
        <v>2798</v>
      </c>
      <c r="C112" s="150">
        <v>3</v>
      </c>
      <c r="D112" s="219">
        <f>'Nhan cong'!M269</f>
        <v>135797</v>
      </c>
      <c r="E112" s="219">
        <f t="shared" si="10"/>
        <v>407391</v>
      </c>
    </row>
    <row r="113" spans="1:5" ht="15.75">
      <c r="A113" s="150"/>
      <c r="B113" s="150" t="s">
        <v>2781</v>
      </c>
      <c r="C113" s="150">
        <v>1</v>
      </c>
      <c r="D113" s="219">
        <f>'Nhan cong'!M270</f>
        <v>152080</v>
      </c>
      <c r="E113" s="219">
        <f t="shared" si="10"/>
        <v>152080</v>
      </c>
    </row>
    <row r="114" spans="1:5" ht="15.75">
      <c r="A114" s="148" t="s">
        <v>2799</v>
      </c>
      <c r="B114" s="150"/>
      <c r="C114" s="150"/>
      <c r="D114" s="219"/>
      <c r="E114" s="220">
        <f>SUM(E115:E124)</f>
        <v>2371464</v>
      </c>
    </row>
    <row r="115" spans="1:5" ht="15.75">
      <c r="A115" s="150"/>
      <c r="B115" s="150" t="s">
        <v>2773</v>
      </c>
      <c r="C115" s="150">
        <v>1</v>
      </c>
      <c r="D115" s="219">
        <f>'Nhan cong'!M228</f>
        <v>272168</v>
      </c>
      <c r="E115" s="219">
        <f aca="true" t="shared" si="11" ref="E115:E124">C115*D115</f>
        <v>272168</v>
      </c>
    </row>
    <row r="116" spans="1:5" ht="15.75">
      <c r="A116" s="150"/>
      <c r="B116" s="150" t="s">
        <v>2786</v>
      </c>
      <c r="C116" s="150">
        <v>1</v>
      </c>
      <c r="D116" s="219">
        <f>D105</f>
        <v>207036</v>
      </c>
      <c r="E116" s="219">
        <f t="shared" si="11"/>
        <v>207036</v>
      </c>
    </row>
    <row r="117" spans="1:5" ht="15.75">
      <c r="A117" s="150"/>
      <c r="B117" s="150" t="s">
        <v>2787</v>
      </c>
      <c r="C117" s="150">
        <v>1</v>
      </c>
      <c r="D117" s="219">
        <f>'Nhan cong'!M235</f>
        <v>266062</v>
      </c>
      <c r="E117" s="219">
        <f t="shared" si="11"/>
        <v>266062</v>
      </c>
    </row>
    <row r="118" spans="1:5" ht="15.75">
      <c r="A118" s="150"/>
      <c r="B118" s="150" t="s">
        <v>2788</v>
      </c>
      <c r="C118" s="150">
        <v>1</v>
      </c>
      <c r="D118" s="219">
        <f>'Nhan cong'!M246</f>
        <v>258429</v>
      </c>
      <c r="E118" s="219">
        <f t="shared" si="11"/>
        <v>258429</v>
      </c>
    </row>
    <row r="119" spans="1:5" ht="15.75">
      <c r="A119" s="150"/>
      <c r="B119" s="150" t="s">
        <v>2790</v>
      </c>
      <c r="C119" s="150">
        <v>1</v>
      </c>
      <c r="D119" s="219">
        <f>'Nhan cong'!M246</f>
        <v>258429</v>
      </c>
      <c r="E119" s="219">
        <f t="shared" si="11"/>
        <v>258429</v>
      </c>
    </row>
    <row r="120" spans="1:5" ht="15.75">
      <c r="A120" s="150"/>
      <c r="B120" s="150" t="s">
        <v>2791</v>
      </c>
      <c r="C120" s="150">
        <v>1</v>
      </c>
      <c r="D120" s="219">
        <f>'Nhan cong'!M253</f>
        <v>246217</v>
      </c>
      <c r="E120" s="219">
        <f t="shared" si="11"/>
        <v>246217</v>
      </c>
    </row>
    <row r="121" spans="1:5" ht="15.75">
      <c r="A121" s="150"/>
      <c r="B121" s="150" t="s">
        <v>2759</v>
      </c>
      <c r="C121" s="150">
        <v>1</v>
      </c>
      <c r="D121" s="219">
        <f>'Nhan cong'!M264</f>
        <v>143430</v>
      </c>
      <c r="E121" s="219">
        <f t="shared" si="11"/>
        <v>143430</v>
      </c>
    </row>
    <row r="122" spans="1:5" ht="15.75">
      <c r="A122" s="150"/>
      <c r="B122" s="150" t="s">
        <v>2765</v>
      </c>
      <c r="C122" s="150">
        <v>1</v>
      </c>
      <c r="D122" s="219">
        <f>'Nhan cong'!M265</f>
        <v>160222</v>
      </c>
      <c r="E122" s="219">
        <f t="shared" si="11"/>
        <v>160222</v>
      </c>
    </row>
    <row r="123" spans="1:5" ht="15.75">
      <c r="A123" s="150"/>
      <c r="B123" s="150" t="s">
        <v>2798</v>
      </c>
      <c r="C123" s="150">
        <v>3</v>
      </c>
      <c r="D123" s="219">
        <f>'Nhan cong'!M269</f>
        <v>135797</v>
      </c>
      <c r="E123" s="219">
        <f t="shared" si="11"/>
        <v>407391</v>
      </c>
    </row>
    <row r="124" spans="1:5" ht="15.75">
      <c r="A124" s="150"/>
      <c r="B124" s="150" t="s">
        <v>2781</v>
      </c>
      <c r="C124" s="150">
        <v>1</v>
      </c>
      <c r="D124" s="219">
        <f>'Nhan cong'!M270</f>
        <v>152080</v>
      </c>
      <c r="E124" s="219">
        <f t="shared" si="11"/>
        <v>152080</v>
      </c>
    </row>
    <row r="125" spans="1:5" ht="15.75">
      <c r="A125" s="148" t="s">
        <v>2800</v>
      </c>
      <c r="B125" s="150"/>
      <c r="C125" s="150"/>
      <c r="D125" s="219"/>
      <c r="E125" s="220">
        <f>SUM(E126:E136)</f>
        <v>2903524</v>
      </c>
    </row>
    <row r="126" spans="1:5" ht="15.75">
      <c r="A126" s="150"/>
      <c r="B126" s="150" t="s">
        <v>2773</v>
      </c>
      <c r="C126" s="150">
        <v>1</v>
      </c>
      <c r="D126" s="219">
        <f>'Nhan cong'!M228</f>
        <v>272168</v>
      </c>
      <c r="E126" s="219">
        <f aca="true" t="shared" si="12" ref="E126:E136">C126*D126</f>
        <v>272168</v>
      </c>
    </row>
    <row r="127" spans="1:5" ht="15.75">
      <c r="A127" s="150"/>
      <c r="B127" s="150" t="s">
        <v>2786</v>
      </c>
      <c r="C127" s="150">
        <v>1</v>
      </c>
      <c r="D127" s="219">
        <f>D116</f>
        <v>207036</v>
      </c>
      <c r="E127" s="219">
        <f t="shared" si="12"/>
        <v>207036</v>
      </c>
    </row>
    <row r="128" spans="1:5" ht="15.75">
      <c r="A128" s="150"/>
      <c r="B128" s="150" t="s">
        <v>2787</v>
      </c>
      <c r="C128" s="150">
        <v>1</v>
      </c>
      <c r="D128" s="219">
        <f>'Nhan cong'!M235</f>
        <v>266062</v>
      </c>
      <c r="E128" s="219">
        <f t="shared" si="12"/>
        <v>266062</v>
      </c>
    </row>
    <row r="129" spans="1:5" ht="15.75">
      <c r="A129" s="150"/>
      <c r="B129" s="150" t="s">
        <v>2788</v>
      </c>
      <c r="C129" s="150">
        <v>1</v>
      </c>
      <c r="D129" s="219">
        <f>'Nhan cong'!M246</f>
        <v>258429</v>
      </c>
      <c r="E129" s="219">
        <f t="shared" si="12"/>
        <v>258429</v>
      </c>
    </row>
    <row r="130" spans="1:5" ht="15.75">
      <c r="A130" s="150"/>
      <c r="B130" s="150" t="s">
        <v>2793</v>
      </c>
      <c r="C130" s="150">
        <v>1</v>
      </c>
      <c r="D130" s="219">
        <f>'Nhan cong'!M239</f>
        <v>229934</v>
      </c>
      <c r="E130" s="219">
        <f t="shared" si="12"/>
        <v>229934</v>
      </c>
    </row>
    <row r="131" spans="1:5" ht="15.75">
      <c r="A131" s="150"/>
      <c r="B131" s="150" t="s">
        <v>2790</v>
      </c>
      <c r="C131" s="150">
        <v>1</v>
      </c>
      <c r="D131" s="219">
        <f>'Nhan cong'!M246</f>
        <v>258429</v>
      </c>
      <c r="E131" s="219">
        <f t="shared" si="12"/>
        <v>258429</v>
      </c>
    </row>
    <row r="132" spans="1:5" ht="15.75">
      <c r="A132" s="150"/>
      <c r="B132" s="150" t="s">
        <v>2791</v>
      </c>
      <c r="C132" s="150">
        <v>1</v>
      </c>
      <c r="D132" s="219">
        <f>'Nhan cong'!M253</f>
        <v>246217</v>
      </c>
      <c r="E132" s="219">
        <f t="shared" si="12"/>
        <v>246217</v>
      </c>
    </row>
    <row r="133" spans="1:5" ht="15.75">
      <c r="A133" s="150"/>
      <c r="B133" s="150" t="s">
        <v>2759</v>
      </c>
      <c r="C133" s="150">
        <v>5</v>
      </c>
      <c r="D133" s="219">
        <f>'Nhan cong'!M264</f>
        <v>143430</v>
      </c>
      <c r="E133" s="219">
        <f t="shared" si="12"/>
        <v>717150</v>
      </c>
    </row>
    <row r="134" spans="1:5" ht="15.75">
      <c r="A134" s="150"/>
      <c r="B134" s="150" t="s">
        <v>2765</v>
      </c>
      <c r="C134" s="150">
        <v>1</v>
      </c>
      <c r="D134" s="219">
        <f>'Nhan cong'!M265</f>
        <v>160222</v>
      </c>
      <c r="E134" s="219">
        <f t="shared" si="12"/>
        <v>160222</v>
      </c>
    </row>
    <row r="135" spans="1:5" ht="15.75">
      <c r="A135" s="150"/>
      <c r="B135" s="150" t="s">
        <v>2798</v>
      </c>
      <c r="C135" s="150">
        <v>1</v>
      </c>
      <c r="D135" s="219">
        <f>'Nhan cong'!M269</f>
        <v>135797</v>
      </c>
      <c r="E135" s="219">
        <f t="shared" si="12"/>
        <v>135797</v>
      </c>
    </row>
    <row r="136" spans="1:5" ht="15.75">
      <c r="A136" s="150"/>
      <c r="B136" s="150" t="s">
        <v>2781</v>
      </c>
      <c r="C136" s="150">
        <v>1</v>
      </c>
      <c r="D136" s="219">
        <f>'Nhan cong'!M270</f>
        <v>152080</v>
      </c>
      <c r="E136" s="219">
        <f t="shared" si="12"/>
        <v>152080</v>
      </c>
    </row>
    <row r="137" spans="1:5" ht="15.75">
      <c r="A137" s="148" t="s">
        <v>2801</v>
      </c>
      <c r="B137" s="150"/>
      <c r="C137" s="150"/>
      <c r="D137" s="219"/>
      <c r="E137" s="220">
        <f>SUM(E138:E148)</f>
        <v>3667552</v>
      </c>
    </row>
    <row r="138" spans="1:5" ht="15.75">
      <c r="A138" s="150"/>
      <c r="B138" s="150" t="s">
        <v>2773</v>
      </c>
      <c r="C138" s="150">
        <v>1</v>
      </c>
      <c r="D138" s="219">
        <f>'Nhan cong'!M228</f>
        <v>272168</v>
      </c>
      <c r="E138" s="219">
        <f aca="true" t="shared" si="13" ref="E138:E148">C138*D138</f>
        <v>272168</v>
      </c>
    </row>
    <row r="139" spans="1:5" ht="15.75">
      <c r="A139" s="150"/>
      <c r="B139" s="150" t="s">
        <v>2786</v>
      </c>
      <c r="C139" s="150">
        <v>1</v>
      </c>
      <c r="D139" s="219">
        <f>D127</f>
        <v>207036</v>
      </c>
      <c r="E139" s="219">
        <f t="shared" si="13"/>
        <v>207036</v>
      </c>
    </row>
    <row r="140" spans="1:5" ht="15.75">
      <c r="A140" s="150"/>
      <c r="B140" s="150" t="s">
        <v>2787</v>
      </c>
      <c r="C140" s="150">
        <v>1</v>
      </c>
      <c r="D140" s="219">
        <f>'Nhan cong'!M235</f>
        <v>266062</v>
      </c>
      <c r="E140" s="219">
        <f t="shared" si="13"/>
        <v>266062</v>
      </c>
    </row>
    <row r="141" spans="1:5" ht="15.75">
      <c r="A141" s="150"/>
      <c r="B141" s="150" t="s">
        <v>2788</v>
      </c>
      <c r="C141" s="150">
        <v>1</v>
      </c>
      <c r="D141" s="219">
        <f>'Nhan cong'!M246</f>
        <v>258429</v>
      </c>
      <c r="E141" s="219">
        <f t="shared" si="13"/>
        <v>258429</v>
      </c>
    </row>
    <row r="142" spans="1:5" ht="15.75">
      <c r="A142" s="150"/>
      <c r="B142" s="150" t="s">
        <v>2793</v>
      </c>
      <c r="C142" s="150">
        <v>1</v>
      </c>
      <c r="D142" s="219">
        <f>'Nhan cong'!M239</f>
        <v>229934</v>
      </c>
      <c r="E142" s="219">
        <f t="shared" si="13"/>
        <v>229934</v>
      </c>
    </row>
    <row r="143" spans="1:5" ht="15.75">
      <c r="A143" s="150"/>
      <c r="B143" s="150" t="s">
        <v>2790</v>
      </c>
      <c r="C143" s="150">
        <v>1</v>
      </c>
      <c r="D143" s="219">
        <f>'Nhan cong'!M246</f>
        <v>258429</v>
      </c>
      <c r="E143" s="219">
        <f t="shared" si="13"/>
        <v>258429</v>
      </c>
    </row>
    <row r="144" spans="1:5" ht="15.75">
      <c r="A144" s="150"/>
      <c r="B144" s="150" t="s">
        <v>2791</v>
      </c>
      <c r="C144" s="150">
        <v>3</v>
      </c>
      <c r="D144" s="219">
        <f>'Nhan cong'!M253</f>
        <v>246217</v>
      </c>
      <c r="E144" s="219">
        <f t="shared" si="13"/>
        <v>738651</v>
      </c>
    </row>
    <row r="145" spans="1:5" ht="15.75">
      <c r="A145" s="150"/>
      <c r="B145" s="150" t="s">
        <v>2759</v>
      </c>
      <c r="C145" s="150">
        <v>5</v>
      </c>
      <c r="D145" s="219">
        <f>'Nhan cong'!M264</f>
        <v>143430</v>
      </c>
      <c r="E145" s="219">
        <f t="shared" si="13"/>
        <v>717150</v>
      </c>
    </row>
    <row r="146" spans="1:5" ht="15.75">
      <c r="A146" s="150"/>
      <c r="B146" s="150" t="s">
        <v>2765</v>
      </c>
      <c r="C146" s="150">
        <v>1</v>
      </c>
      <c r="D146" s="219">
        <f>'Nhan cong'!M265</f>
        <v>160222</v>
      </c>
      <c r="E146" s="219">
        <f t="shared" si="13"/>
        <v>160222</v>
      </c>
    </row>
    <row r="147" spans="1:5" ht="15.75">
      <c r="A147" s="150"/>
      <c r="B147" s="150" t="s">
        <v>2798</v>
      </c>
      <c r="C147" s="150">
        <v>3</v>
      </c>
      <c r="D147" s="219">
        <f>'Nhan cong'!M269</f>
        <v>135797</v>
      </c>
      <c r="E147" s="219">
        <f t="shared" si="13"/>
        <v>407391</v>
      </c>
    </row>
    <row r="148" spans="1:5" ht="15.75">
      <c r="A148" s="150"/>
      <c r="B148" s="150" t="s">
        <v>2781</v>
      </c>
      <c r="C148" s="150">
        <v>1</v>
      </c>
      <c r="D148" s="219">
        <f>'Nhan cong'!M270</f>
        <v>152080</v>
      </c>
      <c r="E148" s="219">
        <f t="shared" si="13"/>
        <v>152080</v>
      </c>
    </row>
    <row r="149" spans="1:5" ht="15.75">
      <c r="A149" s="148" t="s">
        <v>2802</v>
      </c>
      <c r="B149" s="150"/>
      <c r="C149" s="150"/>
      <c r="D149" s="219"/>
      <c r="E149" s="220">
        <f>SUM(E150:E160)</f>
        <v>2861422</v>
      </c>
    </row>
    <row r="150" spans="1:5" ht="15.75">
      <c r="A150" s="150"/>
      <c r="B150" s="150" t="s">
        <v>2773</v>
      </c>
      <c r="C150" s="150">
        <v>1</v>
      </c>
      <c r="D150" s="219">
        <f>'Nhan cong'!M289</f>
        <v>283363</v>
      </c>
      <c r="E150" s="219">
        <f aca="true" t="shared" si="14" ref="E150:E160">C150*D150</f>
        <v>283363</v>
      </c>
    </row>
    <row r="151" spans="1:5" ht="15.75">
      <c r="A151" s="150"/>
      <c r="B151" s="150" t="s">
        <v>2786</v>
      </c>
      <c r="C151" s="150">
        <v>1</v>
      </c>
      <c r="D151" s="219">
        <f>'Nhan cong'!M306</f>
        <v>258429</v>
      </c>
      <c r="E151" s="219">
        <f t="shared" si="14"/>
        <v>258429</v>
      </c>
    </row>
    <row r="152" spans="1:5" ht="15.75">
      <c r="A152" s="150"/>
      <c r="B152" s="150" t="s">
        <v>2787</v>
      </c>
      <c r="C152" s="150">
        <v>1</v>
      </c>
      <c r="D152" s="219">
        <f>'Nhan cong'!M295</f>
        <v>272168</v>
      </c>
      <c r="E152" s="219">
        <f t="shared" si="14"/>
        <v>272168</v>
      </c>
    </row>
    <row r="153" spans="1:5" ht="15.75">
      <c r="A153" s="150"/>
      <c r="B153" s="150" t="s">
        <v>2788</v>
      </c>
      <c r="C153" s="150">
        <v>1</v>
      </c>
      <c r="D153" s="219">
        <f>'Nhan cong'!M306</f>
        <v>258429</v>
      </c>
      <c r="E153" s="219">
        <f t="shared" si="14"/>
        <v>258429</v>
      </c>
    </row>
    <row r="154" spans="1:5" ht="15.75">
      <c r="A154" s="150"/>
      <c r="B154" s="150" t="s">
        <v>2793</v>
      </c>
      <c r="C154" s="150">
        <v>1</v>
      </c>
      <c r="D154" s="219">
        <f>'Nhan cong'!M301</f>
        <v>246217</v>
      </c>
      <c r="E154" s="219">
        <f t="shared" si="14"/>
        <v>246217</v>
      </c>
    </row>
    <row r="155" spans="1:5" ht="15.75">
      <c r="A155" s="150"/>
      <c r="B155" s="150" t="s">
        <v>2790</v>
      </c>
      <c r="C155" s="150">
        <v>1</v>
      </c>
      <c r="D155" s="219">
        <f>'Nhan cong'!M301</f>
        <v>246217</v>
      </c>
      <c r="E155" s="219">
        <f t="shared" si="14"/>
        <v>246217</v>
      </c>
    </row>
    <row r="156" spans="1:5" ht="15.75">
      <c r="A156" s="150"/>
      <c r="B156" s="150" t="s">
        <v>2791</v>
      </c>
      <c r="C156" s="150">
        <v>1</v>
      </c>
      <c r="D156" s="219">
        <f>'Nhan cong'!M312</f>
        <v>230443</v>
      </c>
      <c r="E156" s="219">
        <f t="shared" si="14"/>
        <v>230443</v>
      </c>
    </row>
    <row r="157" spans="1:5" ht="15.75">
      <c r="A157" s="150"/>
      <c r="B157" s="150" t="s">
        <v>2759</v>
      </c>
      <c r="C157" s="150">
        <v>1</v>
      </c>
      <c r="D157" s="219">
        <f>'Nhan cong'!M334</f>
        <v>166837</v>
      </c>
      <c r="E157" s="219">
        <f t="shared" si="14"/>
        <v>166837</v>
      </c>
    </row>
    <row r="158" spans="1:5" ht="15.75">
      <c r="A158" s="150"/>
      <c r="B158" s="150" t="s">
        <v>2765</v>
      </c>
      <c r="C158" s="150">
        <v>1</v>
      </c>
      <c r="D158" s="219">
        <f>'Nhan cong'!M330</f>
        <v>207036</v>
      </c>
      <c r="E158" s="219">
        <f t="shared" si="14"/>
        <v>207036</v>
      </c>
    </row>
    <row r="159" spans="1:5" ht="15.75">
      <c r="A159" s="150"/>
      <c r="B159" s="150" t="s">
        <v>2798</v>
      </c>
      <c r="C159" s="150">
        <v>3</v>
      </c>
      <c r="D159" s="219">
        <f>'Nhan cong'!M339</f>
        <v>164802</v>
      </c>
      <c r="E159" s="219">
        <f t="shared" si="14"/>
        <v>494406</v>
      </c>
    </row>
    <row r="160" spans="1:5" ht="15.75">
      <c r="A160" s="150"/>
      <c r="B160" s="150" t="s">
        <v>2781</v>
      </c>
      <c r="C160" s="150">
        <v>1</v>
      </c>
      <c r="D160" s="219">
        <f>'Nhan cong'!M340</f>
        <v>197877</v>
      </c>
      <c r="E160" s="219">
        <f t="shared" si="14"/>
        <v>197877</v>
      </c>
    </row>
    <row r="161" spans="1:5" ht="15.75">
      <c r="A161" s="148" t="s">
        <v>2803</v>
      </c>
      <c r="B161" s="150"/>
      <c r="C161" s="150"/>
      <c r="D161" s="219"/>
      <c r="E161" s="220">
        <f>SUM(E162:E172)</f>
        <v>2965734</v>
      </c>
    </row>
    <row r="162" spans="1:5" ht="15.75">
      <c r="A162" s="150"/>
      <c r="B162" s="150" t="s">
        <v>2773</v>
      </c>
      <c r="C162" s="150">
        <v>1</v>
      </c>
      <c r="D162" s="219">
        <f>'Nhan cong'!M292</f>
        <v>300663</v>
      </c>
      <c r="E162" s="219">
        <f aca="true" t="shared" si="15" ref="E162:E172">C162*D162</f>
        <v>300663</v>
      </c>
    </row>
    <row r="163" spans="1:5" ht="15.75">
      <c r="A163" s="150"/>
      <c r="B163" s="150" t="s">
        <v>2786</v>
      </c>
      <c r="C163" s="150">
        <v>1</v>
      </c>
      <c r="D163" s="219">
        <f>'Nhan cong'!M308</f>
        <v>272168</v>
      </c>
      <c r="E163" s="219">
        <f t="shared" si="15"/>
        <v>272168</v>
      </c>
    </row>
    <row r="164" spans="1:5" ht="15.75">
      <c r="A164" s="150"/>
      <c r="B164" s="150" t="s">
        <v>2787</v>
      </c>
      <c r="C164" s="150">
        <v>1</v>
      </c>
      <c r="D164" s="219">
        <f>'Nhan cong'!M297</f>
        <v>283363</v>
      </c>
      <c r="E164" s="219">
        <f t="shared" si="15"/>
        <v>283363</v>
      </c>
    </row>
    <row r="165" spans="1:5" ht="15.75">
      <c r="A165" s="150"/>
      <c r="B165" s="150" t="s">
        <v>2788</v>
      </c>
      <c r="C165" s="150">
        <v>1</v>
      </c>
      <c r="D165" s="219">
        <f>'Nhan cong'!M308</f>
        <v>272168</v>
      </c>
      <c r="E165" s="219">
        <f t="shared" si="15"/>
        <v>272168</v>
      </c>
    </row>
    <row r="166" spans="1:5" ht="15.75">
      <c r="A166" s="150"/>
      <c r="B166" s="150" t="s">
        <v>2793</v>
      </c>
      <c r="C166" s="150">
        <v>1</v>
      </c>
      <c r="D166" s="219">
        <f>'Nhan cong'!M303</f>
        <v>258429</v>
      </c>
      <c r="E166" s="219">
        <f t="shared" si="15"/>
        <v>258429</v>
      </c>
    </row>
    <row r="167" spans="1:5" ht="15.75">
      <c r="A167" s="150"/>
      <c r="B167" s="150" t="s">
        <v>2790</v>
      </c>
      <c r="C167" s="150">
        <v>1</v>
      </c>
      <c r="D167" s="219">
        <f>'Nhan cong'!M303</f>
        <v>258429</v>
      </c>
      <c r="E167" s="219">
        <f t="shared" si="15"/>
        <v>258429</v>
      </c>
    </row>
    <row r="168" spans="1:5" ht="15.75">
      <c r="A168" s="150"/>
      <c r="B168" s="150" t="s">
        <v>2791</v>
      </c>
      <c r="C168" s="150">
        <v>1</v>
      </c>
      <c r="D168" s="219">
        <f>'Nhan cong'!M314</f>
        <v>246217</v>
      </c>
      <c r="E168" s="219">
        <f t="shared" si="15"/>
        <v>246217</v>
      </c>
    </row>
    <row r="169" spans="1:5" ht="15.75">
      <c r="A169" s="150"/>
      <c r="B169" s="150" t="s">
        <v>2759</v>
      </c>
      <c r="C169" s="150">
        <v>1</v>
      </c>
      <c r="D169" s="219">
        <f>'Nhan cong'!M329</f>
        <v>174978</v>
      </c>
      <c r="E169" s="219">
        <f t="shared" si="15"/>
        <v>174978</v>
      </c>
    </row>
    <row r="170" spans="1:5" ht="15.75">
      <c r="A170" s="150"/>
      <c r="B170" s="150" t="s">
        <v>2765</v>
      </c>
      <c r="C170" s="150">
        <v>1</v>
      </c>
      <c r="D170" s="219">
        <f>'Nhan cong'!M330</f>
        <v>207036</v>
      </c>
      <c r="E170" s="219">
        <f t="shared" si="15"/>
        <v>207036</v>
      </c>
    </row>
    <row r="171" spans="1:5" ht="15.75">
      <c r="A171" s="150"/>
      <c r="B171" s="150" t="s">
        <v>2798</v>
      </c>
      <c r="C171" s="150">
        <v>3</v>
      </c>
      <c r="D171" s="219">
        <f>'Nhan cong'!M339</f>
        <v>164802</v>
      </c>
      <c r="E171" s="219">
        <f t="shared" si="15"/>
        <v>494406</v>
      </c>
    </row>
    <row r="172" spans="1:5" ht="15.75">
      <c r="A172" s="150"/>
      <c r="B172" s="150" t="s">
        <v>2781</v>
      </c>
      <c r="C172" s="150">
        <v>1</v>
      </c>
      <c r="D172" s="219">
        <f>'Nhan cong'!M340</f>
        <v>197877</v>
      </c>
      <c r="E172" s="219">
        <f t="shared" si="15"/>
        <v>197877</v>
      </c>
    </row>
    <row r="173" spans="1:5" ht="15.75">
      <c r="A173" s="148" t="s">
        <v>2804</v>
      </c>
      <c r="B173" s="150"/>
      <c r="C173" s="150"/>
      <c r="D173" s="219"/>
      <c r="E173" s="220">
        <f>SUM(E174:E183)</f>
        <v>3546134</v>
      </c>
    </row>
    <row r="174" spans="1:5" ht="15.75">
      <c r="A174" s="150"/>
      <c r="B174" s="150" t="s">
        <v>2773</v>
      </c>
      <c r="C174" s="150">
        <v>1</v>
      </c>
      <c r="D174" s="219">
        <f>'Nhan cong'!M297</f>
        <v>283363</v>
      </c>
      <c r="E174" s="219">
        <f aca="true" t="shared" si="16" ref="E174:E183">C174*D174</f>
        <v>283363</v>
      </c>
    </row>
    <row r="175" spans="1:5" ht="15.75">
      <c r="A175" s="150"/>
      <c r="B175" s="150" t="s">
        <v>2786</v>
      </c>
      <c r="C175" s="150">
        <v>1</v>
      </c>
      <c r="D175" s="219">
        <f>'Nhan cong'!M308</f>
        <v>272168</v>
      </c>
      <c r="E175" s="219">
        <f t="shared" si="16"/>
        <v>272168</v>
      </c>
    </row>
    <row r="176" spans="1:5" ht="15.75">
      <c r="A176" s="150"/>
      <c r="B176" s="150" t="s">
        <v>2787</v>
      </c>
      <c r="C176" s="150">
        <v>1</v>
      </c>
      <c r="D176" s="219">
        <f>'Nhan cong'!M297</f>
        <v>283363</v>
      </c>
      <c r="E176" s="219">
        <f t="shared" si="16"/>
        <v>283363</v>
      </c>
    </row>
    <row r="177" spans="1:5" ht="15.75">
      <c r="A177" s="150"/>
      <c r="B177" s="150" t="s">
        <v>2788</v>
      </c>
      <c r="C177" s="150">
        <v>1</v>
      </c>
      <c r="D177" s="219">
        <f>'Nhan cong'!M308</f>
        <v>272168</v>
      </c>
      <c r="E177" s="219">
        <f t="shared" si="16"/>
        <v>272168</v>
      </c>
    </row>
    <row r="178" spans="1:5" ht="15.75">
      <c r="A178" s="150"/>
      <c r="B178" s="150" t="s">
        <v>2790</v>
      </c>
      <c r="C178" s="150">
        <v>1</v>
      </c>
      <c r="D178" s="219">
        <f>'Nhan cong'!M308</f>
        <v>272168</v>
      </c>
      <c r="E178" s="219">
        <f t="shared" si="16"/>
        <v>272168</v>
      </c>
    </row>
    <row r="179" spans="1:5" ht="15.75">
      <c r="A179" s="150"/>
      <c r="B179" s="150" t="s">
        <v>2791</v>
      </c>
      <c r="C179" s="150">
        <v>3</v>
      </c>
      <c r="D179" s="219">
        <f>'Nhan cong'!M314</f>
        <v>246217</v>
      </c>
      <c r="E179" s="219">
        <f t="shared" si="16"/>
        <v>738651</v>
      </c>
    </row>
    <row r="180" spans="1:5" ht="15.75">
      <c r="A180" s="150"/>
      <c r="B180" s="150" t="s">
        <v>2759</v>
      </c>
      <c r="C180" s="150">
        <v>3</v>
      </c>
      <c r="D180" s="219">
        <f>'Nhan cong'!M329</f>
        <v>174978</v>
      </c>
      <c r="E180" s="219">
        <f t="shared" si="16"/>
        <v>524934</v>
      </c>
    </row>
    <row r="181" spans="1:5" ht="15.75">
      <c r="A181" s="150"/>
      <c r="B181" s="150" t="s">
        <v>2765</v>
      </c>
      <c r="C181" s="150">
        <v>1</v>
      </c>
      <c r="D181" s="219">
        <f>'Nhan cong'!M330</f>
        <v>207036</v>
      </c>
      <c r="E181" s="219">
        <f t="shared" si="16"/>
        <v>207036</v>
      </c>
    </row>
    <row r="182" spans="1:5" ht="15.75">
      <c r="A182" s="150"/>
      <c r="B182" s="150" t="s">
        <v>2798</v>
      </c>
      <c r="C182" s="150">
        <v>3</v>
      </c>
      <c r="D182" s="219">
        <f>'Nhan cong'!M339</f>
        <v>164802</v>
      </c>
      <c r="E182" s="219">
        <f t="shared" si="16"/>
        <v>494406</v>
      </c>
    </row>
    <row r="183" spans="1:5" ht="15.75">
      <c r="A183" s="150"/>
      <c r="B183" s="150" t="s">
        <v>2781</v>
      </c>
      <c r="C183" s="150">
        <v>1</v>
      </c>
      <c r="D183" s="219">
        <f>'Nhan cong'!M340</f>
        <v>197877</v>
      </c>
      <c r="E183" s="219">
        <f t="shared" si="16"/>
        <v>197877</v>
      </c>
    </row>
    <row r="184" spans="1:5" ht="15.75">
      <c r="A184" s="152" t="s">
        <v>2805</v>
      </c>
      <c r="B184" s="150"/>
      <c r="C184" s="150"/>
      <c r="D184" s="219"/>
      <c r="E184" s="220">
        <f>SUM(E185:E189)</f>
        <v>992879</v>
      </c>
    </row>
    <row r="185" spans="1:5" ht="15.75">
      <c r="A185" s="150"/>
      <c r="B185" s="150" t="s">
        <v>2806</v>
      </c>
      <c r="C185" s="150">
        <v>1</v>
      </c>
      <c r="D185" s="219">
        <f>'Nhan cong'!M300</f>
        <v>230443</v>
      </c>
      <c r="E185" s="219">
        <f>D185*C185</f>
        <v>230443</v>
      </c>
    </row>
    <row r="186" spans="1:5" ht="15.75">
      <c r="A186" s="150"/>
      <c r="B186" s="150" t="s">
        <v>2758</v>
      </c>
      <c r="C186" s="150">
        <v>2</v>
      </c>
      <c r="D186" s="219">
        <f>'Nhan cong'!M328</f>
        <v>152080</v>
      </c>
      <c r="E186" s="219">
        <f>D186*C186</f>
        <v>304160</v>
      </c>
    </row>
    <row r="187" spans="1:5" ht="15.75">
      <c r="A187" s="150"/>
      <c r="B187" s="150" t="s">
        <v>2759</v>
      </c>
      <c r="C187" s="150">
        <v>1</v>
      </c>
      <c r="D187" s="219">
        <f>'Nhan cong'!M329</f>
        <v>174978</v>
      </c>
      <c r="E187" s="219">
        <f>D187*C187</f>
        <v>174978</v>
      </c>
    </row>
    <row r="188" spans="1:5" ht="15.75">
      <c r="A188" s="150"/>
      <c r="B188" s="150" t="s">
        <v>2760</v>
      </c>
      <c r="C188" s="150">
        <v>1</v>
      </c>
      <c r="D188" s="219">
        <f>'Nhan cong'!M333</f>
        <v>143430</v>
      </c>
      <c r="E188" s="219">
        <f>D188*C188</f>
        <v>143430</v>
      </c>
    </row>
    <row r="189" spans="1:5" ht="15.75">
      <c r="A189" s="150"/>
      <c r="B189" s="150" t="s">
        <v>2761</v>
      </c>
      <c r="C189" s="150">
        <v>1</v>
      </c>
      <c r="D189" s="219">
        <f>'Nhan cong'!M338</f>
        <v>139868</v>
      </c>
      <c r="E189" s="219">
        <f>D189*C189</f>
        <v>139868</v>
      </c>
    </row>
    <row r="190" spans="1:5" ht="15.75">
      <c r="A190" s="152" t="s">
        <v>2807</v>
      </c>
      <c r="B190" s="150"/>
      <c r="C190" s="150"/>
      <c r="D190" s="219"/>
      <c r="E190" s="220">
        <f>SUM(E191:E195)</f>
        <v>1020865</v>
      </c>
    </row>
    <row r="191" spans="1:5" ht="15.75">
      <c r="A191" s="150"/>
      <c r="B191" s="150" t="s">
        <v>2806</v>
      </c>
      <c r="C191" s="150">
        <v>1</v>
      </c>
      <c r="D191" s="219">
        <f>'Nhan cong'!M307</f>
        <v>258429</v>
      </c>
      <c r="E191" s="219">
        <f>C191*D191</f>
        <v>258429</v>
      </c>
    </row>
    <row r="192" spans="1:5" ht="15.75">
      <c r="A192" s="150"/>
      <c r="B192" s="150" t="s">
        <v>2758</v>
      </c>
      <c r="C192" s="150">
        <v>2</v>
      </c>
      <c r="D192" s="219">
        <f>'Nhan cong'!M328</f>
        <v>152080</v>
      </c>
      <c r="E192" s="219">
        <f>C192*D192</f>
        <v>304160</v>
      </c>
    </row>
    <row r="193" spans="1:5" ht="15.75">
      <c r="A193" s="150"/>
      <c r="B193" s="150" t="s">
        <v>2759</v>
      </c>
      <c r="C193" s="150">
        <v>1</v>
      </c>
      <c r="D193" s="219">
        <f>'Nhan cong'!M329</f>
        <v>174978</v>
      </c>
      <c r="E193" s="219">
        <f>C193*D193</f>
        <v>174978</v>
      </c>
    </row>
    <row r="194" spans="1:5" ht="15.75">
      <c r="A194" s="150"/>
      <c r="B194" s="150" t="s">
        <v>2760</v>
      </c>
      <c r="C194" s="150">
        <v>1</v>
      </c>
      <c r="D194" s="219">
        <f>'Nhan cong'!M333</f>
        <v>143430</v>
      </c>
      <c r="E194" s="219">
        <f>C194*D194</f>
        <v>143430</v>
      </c>
    </row>
    <row r="195" spans="1:5" ht="15.75">
      <c r="A195" s="150"/>
      <c r="B195" s="150" t="s">
        <v>2761</v>
      </c>
      <c r="C195" s="150">
        <v>1</v>
      </c>
      <c r="D195" s="219">
        <f>'Nhan cong'!M338</f>
        <v>139868</v>
      </c>
      <c r="E195" s="219">
        <f>C195*D195</f>
        <v>139868</v>
      </c>
    </row>
    <row r="196" spans="1:5" ht="15.75">
      <c r="A196" s="152" t="s">
        <v>2808</v>
      </c>
      <c r="B196" s="150"/>
      <c r="C196" s="150"/>
      <c r="D196" s="219"/>
      <c r="E196" s="220">
        <f>SUM(E197:E201)</f>
        <v>1020865</v>
      </c>
    </row>
    <row r="197" spans="1:5" ht="15.75">
      <c r="A197" s="150"/>
      <c r="B197" s="150" t="s">
        <v>2806</v>
      </c>
      <c r="C197" s="150">
        <v>1</v>
      </c>
      <c r="D197" s="219">
        <f>D191</f>
        <v>258429</v>
      </c>
      <c r="E197" s="219">
        <f>C197*D197</f>
        <v>258429</v>
      </c>
    </row>
    <row r="198" spans="1:5" ht="15.75">
      <c r="A198" s="150"/>
      <c r="B198" s="150" t="s">
        <v>2758</v>
      </c>
      <c r="C198" s="150">
        <v>2</v>
      </c>
      <c r="D198" s="219">
        <f>D192</f>
        <v>152080</v>
      </c>
      <c r="E198" s="219">
        <f>C198*D198</f>
        <v>304160</v>
      </c>
    </row>
    <row r="199" spans="1:5" ht="15.75">
      <c r="A199" s="150"/>
      <c r="B199" s="150" t="s">
        <v>2759</v>
      </c>
      <c r="C199" s="150">
        <v>1</v>
      </c>
      <c r="D199" s="219">
        <f>D193</f>
        <v>174978</v>
      </c>
      <c r="E199" s="219">
        <f>C199*D199</f>
        <v>174978</v>
      </c>
    </row>
    <row r="200" spans="1:5" ht="15.75">
      <c r="A200" s="150"/>
      <c r="B200" s="150" t="s">
        <v>2760</v>
      </c>
      <c r="C200" s="150">
        <v>1</v>
      </c>
      <c r="D200" s="219">
        <f>D194</f>
        <v>143430</v>
      </c>
      <c r="E200" s="219">
        <f>C200*D200</f>
        <v>143430</v>
      </c>
    </row>
    <row r="201" spans="1:5" ht="15.75">
      <c r="A201" s="150"/>
      <c r="B201" s="150" t="s">
        <v>2761</v>
      </c>
      <c r="C201" s="150">
        <v>1</v>
      </c>
      <c r="D201" s="219">
        <f>D195</f>
        <v>139868</v>
      </c>
      <c r="E201" s="219">
        <f>C201*D201</f>
        <v>139868</v>
      </c>
    </row>
    <row r="202" spans="1:5" ht="15.75">
      <c r="A202" s="152" t="s">
        <v>2809</v>
      </c>
      <c r="B202" s="150"/>
      <c r="C202" s="150"/>
      <c r="D202" s="219"/>
      <c r="E202" s="220">
        <f>SUM(E203:E207)</f>
        <v>879472</v>
      </c>
    </row>
    <row r="203" spans="1:5" ht="15.75">
      <c r="A203" s="150"/>
      <c r="B203" s="150" t="s">
        <v>2763</v>
      </c>
      <c r="C203" s="150">
        <v>1</v>
      </c>
      <c r="D203" s="219">
        <f>'Nhan cong'!M221</f>
        <v>207036</v>
      </c>
      <c r="E203" s="219">
        <f>C203*D203</f>
        <v>207036</v>
      </c>
    </row>
    <row r="204" spans="1:5" ht="15.75">
      <c r="A204" s="150"/>
      <c r="B204" s="150" t="s">
        <v>2774</v>
      </c>
      <c r="C204" s="150">
        <v>1</v>
      </c>
      <c r="D204" s="219">
        <f>'Nhan cong'!M316</f>
        <v>207036</v>
      </c>
      <c r="E204" s="219">
        <f>C204*D204</f>
        <v>207036</v>
      </c>
    </row>
    <row r="205" spans="1:5" ht="15.75">
      <c r="A205" s="150"/>
      <c r="B205" s="150" t="s">
        <v>2810</v>
      </c>
      <c r="C205" s="150">
        <v>1</v>
      </c>
      <c r="D205" s="219">
        <f>'Nhan cong'!M230</f>
        <v>186173</v>
      </c>
      <c r="E205" s="219">
        <f>C205*D205</f>
        <v>186173</v>
      </c>
    </row>
    <row r="206" spans="1:5" ht="15.75">
      <c r="A206" s="150"/>
      <c r="B206" s="150" t="s">
        <v>2759</v>
      </c>
      <c r="C206" s="150">
        <v>1</v>
      </c>
      <c r="D206" s="219">
        <f>'Nhan cong'!M264</f>
        <v>143430</v>
      </c>
      <c r="E206" s="219">
        <f>C206*D206</f>
        <v>143430</v>
      </c>
    </row>
    <row r="207" spans="1:5" ht="15.75">
      <c r="A207" s="150"/>
      <c r="B207" s="150" t="s">
        <v>2776</v>
      </c>
      <c r="C207" s="150">
        <v>1</v>
      </c>
      <c r="D207" s="219">
        <f>'Nhan cong'!M269</f>
        <v>135797</v>
      </c>
      <c r="E207" s="219">
        <f>C207*D207</f>
        <v>135797</v>
      </c>
    </row>
    <row r="208" spans="1:5" ht="15.75">
      <c r="A208" s="152" t="s">
        <v>2811</v>
      </c>
      <c r="B208" s="150"/>
      <c r="C208" s="150"/>
      <c r="D208" s="219"/>
      <c r="E208" s="220">
        <f>SUM(E209:E215)</f>
        <v>1195845</v>
      </c>
    </row>
    <row r="209" spans="1:5" ht="15.75">
      <c r="A209" s="150"/>
      <c r="B209" s="150" t="s">
        <v>2763</v>
      </c>
      <c r="C209" s="150">
        <v>1</v>
      </c>
      <c r="D209" s="219">
        <f>'Nhan cong'!M224</f>
        <v>230443</v>
      </c>
      <c r="E209" s="219">
        <f aca="true" t="shared" si="17" ref="E209:E215">C209*D209</f>
        <v>230443</v>
      </c>
    </row>
    <row r="210" spans="1:5" ht="15.75">
      <c r="A210" s="150"/>
      <c r="B210" s="150" t="s">
        <v>2774</v>
      </c>
      <c r="C210" s="150">
        <v>1</v>
      </c>
      <c r="D210" s="219">
        <f>'Nhan cong'!M311</f>
        <v>219757</v>
      </c>
      <c r="E210" s="219">
        <f t="shared" si="17"/>
        <v>219757</v>
      </c>
    </row>
    <row r="211" spans="1:5" ht="15.75">
      <c r="A211" s="150"/>
      <c r="B211" s="150" t="s">
        <v>2810</v>
      </c>
      <c r="C211" s="150">
        <v>1</v>
      </c>
      <c r="D211" s="219">
        <f>'Nhan cong'!M232</f>
        <v>219757</v>
      </c>
      <c r="E211" s="219">
        <f t="shared" si="17"/>
        <v>219757</v>
      </c>
    </row>
    <row r="212" spans="1:5" ht="15.75">
      <c r="A212" s="150"/>
      <c r="B212" s="150" t="s">
        <v>2758</v>
      </c>
      <c r="C212" s="150">
        <v>1</v>
      </c>
      <c r="D212" s="219">
        <f>'Nhan cong'!M263</f>
        <v>127656</v>
      </c>
      <c r="E212" s="219">
        <f t="shared" si="17"/>
        <v>127656</v>
      </c>
    </row>
    <row r="213" spans="1:5" ht="15.75">
      <c r="A213" s="150"/>
      <c r="B213" s="150" t="s">
        <v>2759</v>
      </c>
      <c r="C213" s="150">
        <v>1</v>
      </c>
      <c r="D213" s="219">
        <f>'Nhan cong'!M264</f>
        <v>143430</v>
      </c>
      <c r="E213" s="219">
        <f t="shared" si="17"/>
        <v>143430</v>
      </c>
    </row>
    <row r="214" spans="1:5" ht="15.75">
      <c r="A214" s="150"/>
      <c r="B214" s="150" t="s">
        <v>2761</v>
      </c>
      <c r="C214" s="150">
        <v>1</v>
      </c>
      <c r="D214" s="219">
        <f>'Nhan cong'!M268</f>
        <v>119005</v>
      </c>
      <c r="E214" s="219">
        <f t="shared" si="17"/>
        <v>119005</v>
      </c>
    </row>
    <row r="215" spans="1:5" ht="15.75">
      <c r="A215" s="150"/>
      <c r="B215" s="150" t="s">
        <v>2776</v>
      </c>
      <c r="C215" s="150">
        <v>1</v>
      </c>
      <c r="D215" s="219">
        <f>'Nhan cong'!M269</f>
        <v>135797</v>
      </c>
      <c r="E215" s="219">
        <f t="shared" si="17"/>
        <v>135797</v>
      </c>
    </row>
    <row r="216" spans="1:5" ht="15.75">
      <c r="A216" s="152" t="s">
        <v>2812</v>
      </c>
      <c r="B216" s="150"/>
      <c r="C216" s="150"/>
      <c r="D216" s="219"/>
      <c r="E216" s="220">
        <f>SUM(E217:E223)</f>
        <v>1276242</v>
      </c>
    </row>
    <row r="217" spans="1:5" ht="15.75">
      <c r="A217" s="150"/>
      <c r="B217" s="150" t="s">
        <v>2763</v>
      </c>
      <c r="C217" s="150">
        <v>1</v>
      </c>
      <c r="D217" s="219">
        <f>'Nhan cong'!M227</f>
        <v>256394</v>
      </c>
      <c r="E217" s="219">
        <f aca="true" t="shared" si="18" ref="E217:E223">C217*D217</f>
        <v>256394</v>
      </c>
    </row>
    <row r="218" spans="1:5" ht="15.75">
      <c r="A218" s="150"/>
      <c r="B218" s="150" t="s">
        <v>2774</v>
      </c>
      <c r="C218" s="150">
        <v>1</v>
      </c>
      <c r="D218" s="219">
        <f>'Nhan cong'!M305</f>
        <v>246217</v>
      </c>
      <c r="E218" s="219">
        <f t="shared" si="18"/>
        <v>246217</v>
      </c>
    </row>
    <row r="219" spans="1:5" ht="15.75">
      <c r="A219" s="150"/>
      <c r="B219" s="150" t="s">
        <v>2810</v>
      </c>
      <c r="C219" s="150">
        <v>1</v>
      </c>
      <c r="D219" s="219">
        <f>'Nhan cong'!M234</f>
        <v>247743</v>
      </c>
      <c r="E219" s="219">
        <f t="shared" si="18"/>
        <v>247743</v>
      </c>
    </row>
    <row r="220" spans="1:5" ht="15.75">
      <c r="A220" s="150"/>
      <c r="B220" s="150" t="s">
        <v>2758</v>
      </c>
      <c r="C220" s="150">
        <v>1</v>
      </c>
      <c r="D220" s="219">
        <f>'Nhan cong'!M263</f>
        <v>127656</v>
      </c>
      <c r="E220" s="219">
        <f t="shared" si="18"/>
        <v>127656</v>
      </c>
    </row>
    <row r="221" spans="1:5" ht="15.75">
      <c r="A221" s="150"/>
      <c r="B221" s="150" t="s">
        <v>2759</v>
      </c>
      <c r="C221" s="150">
        <v>1</v>
      </c>
      <c r="D221" s="219">
        <f>'Nhan cong'!M264</f>
        <v>143430</v>
      </c>
      <c r="E221" s="219">
        <f t="shared" si="18"/>
        <v>143430</v>
      </c>
    </row>
    <row r="222" spans="1:5" ht="15.75">
      <c r="A222" s="150"/>
      <c r="B222" s="150" t="s">
        <v>2761</v>
      </c>
      <c r="C222" s="150">
        <v>1</v>
      </c>
      <c r="D222" s="219">
        <f>'Nhan cong'!M268</f>
        <v>119005</v>
      </c>
      <c r="E222" s="219">
        <f t="shared" si="18"/>
        <v>119005</v>
      </c>
    </row>
    <row r="223" spans="1:5" ht="15.75">
      <c r="A223" s="222"/>
      <c r="B223" s="222" t="s">
        <v>2776</v>
      </c>
      <c r="C223" s="222">
        <v>1</v>
      </c>
      <c r="D223" s="223">
        <f>'Nhan cong'!M269</f>
        <v>135797</v>
      </c>
      <c r="E223" s="223">
        <f t="shared" si="18"/>
        <v>135797</v>
      </c>
    </row>
  </sheetData>
  <sheetProtection/>
  <printOptions/>
  <pageMargins left="0.75" right="0.75" top="1" bottom="1" header="0.5" footer="0.5"/>
  <pageSetup horizontalDpi="300" verticalDpi="300" orientation="portrait" r:id="rId2"/>
  <headerFooter alignWithMargins="0">
    <oddHeader>&amp;L&amp;"Times New Roman,nghiêng"&amp;9Dự toán GXD - www.giaxaydung.vn</oddHeader>
  </headerFooter>
  <legacyDrawing r:id="rId1"/>
</worksheet>
</file>

<file path=xl/worksheets/sheet5.xml><?xml version="1.0" encoding="utf-8"?>
<worksheet xmlns="http://schemas.openxmlformats.org/spreadsheetml/2006/main" xmlns:r="http://schemas.openxmlformats.org/officeDocument/2006/relationships">
  <sheetPr codeName="Sheet19">
    <tabColor indexed="14"/>
  </sheetPr>
  <dimension ref="A1:AI1000"/>
  <sheetViews>
    <sheetView showZeros="0" zoomScale="85" zoomScaleNormal="85" zoomScalePageLayoutView="0" workbookViewId="0" topLeftCell="A1">
      <pane xSplit="6" ySplit="6" topLeftCell="G989" activePane="bottomRight" state="frozen"/>
      <selection pane="topLeft" activeCell="A1" sqref="A1"/>
      <selection pane="topRight" activeCell="G1" sqref="G1"/>
      <selection pane="bottomLeft" activeCell="A7" sqref="A7"/>
      <selection pane="bottomRight" activeCell="Z655" sqref="Z652:Z655"/>
    </sheetView>
  </sheetViews>
  <sheetFormatPr defaultColWidth="11.421875" defaultRowHeight="15"/>
  <cols>
    <col min="1" max="1" width="5.57421875" style="254" customWidth="1"/>
    <col min="2" max="2" width="9.8515625" style="254" hidden="1" customWidth="1"/>
    <col min="3" max="4" width="8.421875" style="254" hidden="1" customWidth="1"/>
    <col min="5" max="5" width="38.421875" style="254" hidden="1" customWidth="1"/>
    <col min="6" max="6" width="16.28125" style="254" customWidth="1"/>
    <col min="7" max="7" width="6.57421875" style="254" customWidth="1"/>
    <col min="8" max="8" width="6.7109375" style="254" customWidth="1"/>
    <col min="9" max="9" width="11.421875" style="254" hidden="1" customWidth="1"/>
    <col min="10" max="10" width="13.00390625" style="254" hidden="1" customWidth="1"/>
    <col min="11" max="11" width="6.140625" style="254" customWidth="1"/>
    <col min="12" max="12" width="12.00390625" style="254" hidden="1" customWidth="1"/>
    <col min="13" max="13" width="8.140625" style="254" customWidth="1"/>
    <col min="14" max="14" width="12.421875" style="254" hidden="1" customWidth="1"/>
    <col min="15" max="15" width="13.00390625" style="254" customWidth="1"/>
    <col min="16" max="16" width="12.28125" style="254" customWidth="1"/>
    <col min="17" max="17" width="10.28125" style="254" hidden="1" customWidth="1"/>
    <col min="18" max="18" width="13.7109375" style="254" hidden="1" customWidth="1"/>
    <col min="19" max="19" width="21.57421875" style="254" customWidth="1"/>
    <col min="20" max="20" width="13.7109375" style="254" hidden="1" customWidth="1"/>
    <col min="21" max="21" width="15.00390625" style="254" hidden="1" customWidth="1"/>
    <col min="22" max="24" width="14.8515625" style="254" customWidth="1"/>
    <col min="25" max="25" width="13.8515625" style="254" customWidth="1"/>
    <col min="26" max="26" width="11.421875" style="259" customWidth="1"/>
    <col min="27" max="27" width="18.00390625" style="350" customWidth="1"/>
    <col min="28" max="28" width="16.00390625" style="350" customWidth="1"/>
    <col min="29" max="35" width="11.421875" style="259" customWidth="1"/>
    <col min="36" max="16384" width="11.421875" style="254" customWidth="1"/>
  </cols>
  <sheetData>
    <row r="1" spans="1:29" ht="31.5">
      <c r="A1" s="256" t="s">
        <v>2422</v>
      </c>
      <c r="B1" s="256"/>
      <c r="C1" s="235"/>
      <c r="D1" s="235"/>
      <c r="E1" s="235"/>
      <c r="F1" s="235"/>
      <c r="G1" s="235"/>
      <c r="H1" s="235"/>
      <c r="I1" s="235"/>
      <c r="J1" s="235"/>
      <c r="K1" s="235"/>
      <c r="L1" s="235"/>
      <c r="M1" s="235"/>
      <c r="N1" s="235"/>
      <c r="O1" s="235"/>
      <c r="P1" s="235"/>
      <c r="Q1" s="235"/>
      <c r="R1" s="235"/>
      <c r="S1" s="235"/>
      <c r="T1" s="235"/>
      <c r="U1" s="235"/>
      <c r="V1" s="235"/>
      <c r="W1" s="235"/>
      <c r="X1" s="235"/>
      <c r="Y1" s="235"/>
      <c r="Z1" s="257" t="s">
        <v>1582</v>
      </c>
      <c r="AA1" s="258" t="s">
        <v>1583</v>
      </c>
      <c r="AB1" s="258" t="s">
        <v>1584</v>
      </c>
      <c r="AC1" s="257" t="s">
        <v>1585</v>
      </c>
    </row>
    <row r="2" spans="1:29" ht="25.5">
      <c r="A2" s="256" t="s">
        <v>2423</v>
      </c>
      <c r="B2" s="256"/>
      <c r="C2" s="73"/>
      <c r="D2" s="73"/>
      <c r="E2" s="74"/>
      <c r="F2" s="73"/>
      <c r="G2" s="75"/>
      <c r="H2" s="75"/>
      <c r="I2" s="75"/>
      <c r="J2" s="75"/>
      <c r="K2" s="75"/>
      <c r="L2" s="75"/>
      <c r="M2" s="75"/>
      <c r="N2" s="75"/>
      <c r="O2" s="75"/>
      <c r="P2" s="75"/>
      <c r="Q2" s="75"/>
      <c r="R2" s="75"/>
      <c r="S2" s="75"/>
      <c r="T2" s="75"/>
      <c r="U2" s="75"/>
      <c r="V2" s="75"/>
      <c r="W2" s="75"/>
      <c r="X2" s="75"/>
      <c r="Y2" s="75"/>
      <c r="Z2" s="260">
        <f>Ts!C34</f>
        <v>19363.64</v>
      </c>
      <c r="AA2" s="261">
        <f>Ts!C35</f>
        <v>19181.82</v>
      </c>
      <c r="AB2" s="261">
        <f>Ts!C39</f>
        <v>1139</v>
      </c>
      <c r="AC2" s="260">
        <f>Ts!C36</f>
        <v>10996.36</v>
      </c>
    </row>
    <row r="3" spans="1:35" s="237" customFormat="1" ht="18.75">
      <c r="A3" s="262" t="s">
        <v>2424</v>
      </c>
      <c r="B3" s="262"/>
      <c r="C3" s="247"/>
      <c r="D3" s="247"/>
      <c r="E3" s="247"/>
      <c r="F3" s="247"/>
      <c r="G3" s="247"/>
      <c r="H3" s="247"/>
      <c r="I3" s="247"/>
      <c r="J3" s="247"/>
      <c r="K3" s="247"/>
      <c r="L3" s="247"/>
      <c r="M3" s="247"/>
      <c r="N3" s="247"/>
      <c r="O3" s="247"/>
      <c r="P3" s="247"/>
      <c r="Q3" s="247"/>
      <c r="R3" s="247"/>
      <c r="S3" s="247"/>
      <c r="T3" s="247"/>
      <c r="U3" s="247"/>
      <c r="V3" s="247"/>
      <c r="W3" s="247"/>
      <c r="X3" s="247"/>
      <c r="Y3" s="247"/>
      <c r="Z3" s="238">
        <v>0.03</v>
      </c>
      <c r="AA3" s="255">
        <v>0.05</v>
      </c>
      <c r="AB3" s="255">
        <v>0.07</v>
      </c>
      <c r="AC3" s="238">
        <f>+AA3</f>
        <v>0.05</v>
      </c>
      <c r="AD3" s="236"/>
      <c r="AE3" s="236"/>
      <c r="AF3" s="236"/>
      <c r="AG3" s="236"/>
      <c r="AH3" s="236"/>
      <c r="AI3" s="236"/>
    </row>
    <row r="4" spans="1:35" s="266" customFormat="1" ht="15.75">
      <c r="A4" s="144"/>
      <c r="B4" s="144"/>
      <c r="C4" s="145"/>
      <c r="D4" s="145"/>
      <c r="E4" s="145"/>
      <c r="F4" s="145"/>
      <c r="G4" s="145"/>
      <c r="H4" s="145"/>
      <c r="I4" s="145"/>
      <c r="J4" s="145"/>
      <c r="K4" s="145"/>
      <c r="L4" s="146"/>
      <c r="M4" s="145"/>
      <c r="N4" s="146"/>
      <c r="O4" s="145"/>
      <c r="P4" s="145"/>
      <c r="Q4" s="145"/>
      <c r="R4" s="146"/>
      <c r="S4" s="144"/>
      <c r="T4" s="146"/>
      <c r="U4" s="145"/>
      <c r="V4" s="145"/>
      <c r="W4" s="145"/>
      <c r="X4" s="145"/>
      <c r="Y4" s="263"/>
      <c r="Z4" s="264"/>
      <c r="AA4" s="265"/>
      <c r="AB4" s="265"/>
      <c r="AC4" s="264"/>
      <c r="AD4" s="264"/>
      <c r="AE4" s="264"/>
      <c r="AF4" s="264"/>
      <c r="AG4" s="264"/>
      <c r="AH4" s="264"/>
      <c r="AI4" s="264"/>
    </row>
    <row r="5" spans="1:28" s="264" customFormat="1" ht="25.5" customHeight="1">
      <c r="A5" s="379" t="s">
        <v>1268</v>
      </c>
      <c r="B5" s="379" t="s">
        <v>78</v>
      </c>
      <c r="C5" s="379" t="s">
        <v>3847</v>
      </c>
      <c r="D5" s="379" t="s">
        <v>3155</v>
      </c>
      <c r="E5" s="379" t="s">
        <v>1576</v>
      </c>
      <c r="F5" s="379" t="s">
        <v>1576</v>
      </c>
      <c r="G5" s="379" t="s">
        <v>2425</v>
      </c>
      <c r="H5" s="351" t="s">
        <v>2707</v>
      </c>
      <c r="I5" s="352"/>
      <c r="J5" s="352"/>
      <c r="K5" s="355"/>
      <c r="L5" s="356"/>
      <c r="M5" s="355"/>
      <c r="N5" s="356"/>
      <c r="O5" s="355"/>
      <c r="P5" s="355"/>
      <c r="Q5" s="355"/>
      <c r="R5" s="356"/>
      <c r="S5" s="355"/>
      <c r="T5" s="357"/>
      <c r="U5" s="379" t="s">
        <v>3848</v>
      </c>
      <c r="V5" s="379" t="s">
        <v>1829</v>
      </c>
      <c r="W5" s="379" t="s">
        <v>1830</v>
      </c>
      <c r="X5" s="379" t="s">
        <v>1831</v>
      </c>
      <c r="Y5" s="386" t="s">
        <v>3780</v>
      </c>
      <c r="AA5" s="265"/>
      <c r="AB5" s="265"/>
    </row>
    <row r="6" spans="1:28" s="264" customFormat="1" ht="83.25" customHeight="1">
      <c r="A6" s="380"/>
      <c r="B6" s="380"/>
      <c r="C6" s="380"/>
      <c r="D6" s="380"/>
      <c r="E6" s="380"/>
      <c r="F6" s="380"/>
      <c r="G6" s="380"/>
      <c r="H6" s="353" t="s">
        <v>3849</v>
      </c>
      <c r="I6" s="353" t="s">
        <v>1577</v>
      </c>
      <c r="J6" s="353" t="s">
        <v>1578</v>
      </c>
      <c r="K6" s="353" t="s">
        <v>3846</v>
      </c>
      <c r="L6" s="354" t="s">
        <v>1579</v>
      </c>
      <c r="M6" s="353" t="s">
        <v>3850</v>
      </c>
      <c r="N6" s="354" t="s">
        <v>1580</v>
      </c>
      <c r="O6" s="382" t="s">
        <v>3851</v>
      </c>
      <c r="P6" s="383"/>
      <c r="Q6" s="353" t="s">
        <v>1581</v>
      </c>
      <c r="R6" s="354" t="s">
        <v>3852</v>
      </c>
      <c r="S6" s="353" t="s">
        <v>3853</v>
      </c>
      <c r="T6" s="354" t="s">
        <v>3854</v>
      </c>
      <c r="U6" s="380"/>
      <c r="V6" s="380"/>
      <c r="W6" s="380"/>
      <c r="X6" s="380"/>
      <c r="Y6" s="381"/>
      <c r="AA6" s="265"/>
      <c r="AB6" s="265"/>
    </row>
    <row r="7" spans="1:28" s="264" customFormat="1" ht="15.75">
      <c r="A7" s="267">
        <v>1</v>
      </c>
      <c r="B7" s="267">
        <v>2</v>
      </c>
      <c r="C7" s="248">
        <v>3</v>
      </c>
      <c r="D7" s="267">
        <v>4</v>
      </c>
      <c r="E7" s="248">
        <v>5</v>
      </c>
      <c r="F7" s="267">
        <v>6</v>
      </c>
      <c r="G7" s="248">
        <v>7</v>
      </c>
      <c r="H7" s="267">
        <v>8</v>
      </c>
      <c r="I7" s="248">
        <v>9</v>
      </c>
      <c r="J7" s="267">
        <v>10</v>
      </c>
      <c r="K7" s="248">
        <v>11</v>
      </c>
      <c r="L7" s="267">
        <v>12</v>
      </c>
      <c r="M7" s="248">
        <v>13</v>
      </c>
      <c r="N7" s="267">
        <v>14</v>
      </c>
      <c r="O7" s="248">
        <v>15</v>
      </c>
      <c r="P7" s="267">
        <v>16</v>
      </c>
      <c r="Q7" s="248">
        <v>17</v>
      </c>
      <c r="R7" s="267">
        <v>18</v>
      </c>
      <c r="S7" s="248">
        <v>19</v>
      </c>
      <c r="T7" s="267">
        <v>20</v>
      </c>
      <c r="U7" s="248">
        <v>21</v>
      </c>
      <c r="V7" s="248">
        <v>22</v>
      </c>
      <c r="W7" s="248">
        <v>23</v>
      </c>
      <c r="X7" s="248">
        <v>24</v>
      </c>
      <c r="Y7" s="387">
        <v>25</v>
      </c>
      <c r="AA7" s="265"/>
      <c r="AB7" s="265"/>
    </row>
    <row r="8" spans="1:35" s="266" customFormat="1" ht="15.75">
      <c r="A8" s="268"/>
      <c r="B8" s="269"/>
      <c r="C8" s="270"/>
      <c r="D8" s="271"/>
      <c r="E8" s="272"/>
      <c r="F8" s="147" t="s">
        <v>1586</v>
      </c>
      <c r="G8" s="273"/>
      <c r="H8" s="273"/>
      <c r="I8" s="273"/>
      <c r="J8" s="274">
        <v>0.05</v>
      </c>
      <c r="K8" s="275" t="s">
        <v>1587</v>
      </c>
      <c r="L8" s="276"/>
      <c r="M8" s="277"/>
      <c r="N8" s="276"/>
      <c r="O8" s="278"/>
      <c r="P8" s="279"/>
      <c r="Q8" s="273"/>
      <c r="R8" s="276"/>
      <c r="S8" s="280"/>
      <c r="T8" s="281"/>
      <c r="U8" s="249"/>
      <c r="V8" s="249"/>
      <c r="W8" s="249"/>
      <c r="X8" s="249"/>
      <c r="Y8" s="282"/>
      <c r="AA8" s="283"/>
      <c r="AB8" s="283"/>
      <c r="AD8" s="264"/>
      <c r="AE8" s="264"/>
      <c r="AF8" s="264"/>
      <c r="AG8" s="264"/>
      <c r="AH8" s="264"/>
      <c r="AI8" s="264"/>
    </row>
    <row r="9" spans="1:35" s="266" customFormat="1" ht="15.75">
      <c r="A9" s="284">
        <v>1</v>
      </c>
      <c r="B9" s="284">
        <v>0</v>
      </c>
      <c r="C9" s="284" t="s">
        <v>1588</v>
      </c>
      <c r="D9" s="284" t="s">
        <v>3164</v>
      </c>
      <c r="E9" s="285" t="s">
        <v>2426</v>
      </c>
      <c r="F9" s="286" t="s">
        <v>1589</v>
      </c>
      <c r="G9" s="284">
        <v>260</v>
      </c>
      <c r="H9" s="284">
        <v>18</v>
      </c>
      <c r="I9" s="284">
        <v>0.95</v>
      </c>
      <c r="J9" s="287">
        <f aca="true" t="shared" si="0" ref="J9:J27">Y9*H9%*I9/G9*1000</f>
        <v>335949.23076923075</v>
      </c>
      <c r="K9" s="288">
        <v>6.04</v>
      </c>
      <c r="L9" s="289">
        <f aca="true" t="shared" si="1" ref="L9:L27">(Y9*K9%)/G9*1000</f>
        <v>118662.76923076923</v>
      </c>
      <c r="M9" s="288">
        <v>5</v>
      </c>
      <c r="N9" s="289">
        <f aca="true" t="shared" si="2" ref="N9:N27">(Y9*M9%)/G9*1000</f>
        <v>98230.76923076922</v>
      </c>
      <c r="O9" s="290">
        <v>32.4</v>
      </c>
      <c r="P9" s="291" t="s">
        <v>1590</v>
      </c>
      <c r="Q9" s="288">
        <v>1.05</v>
      </c>
      <c r="R9" s="289">
        <f aca="true" t="shared" si="3" ref="R9:R27">O9*diezel*Q9</f>
        <v>652565.5164</v>
      </c>
      <c r="S9" s="292" t="s">
        <v>1591</v>
      </c>
      <c r="T9" s="289">
        <f>Nii4</f>
        <v>145974.23076923078</v>
      </c>
      <c r="U9" s="250">
        <f>ROUND((J9+L9+N9+R9+T9),0)-1</f>
        <v>1351382</v>
      </c>
      <c r="V9" s="250">
        <v>1372236</v>
      </c>
      <c r="W9" s="250">
        <v>1351382</v>
      </c>
      <c r="X9" s="250">
        <v>1320797</v>
      </c>
      <c r="Y9" s="293">
        <v>510800</v>
      </c>
      <c r="Z9" s="294">
        <v>-1</v>
      </c>
      <c r="AA9" s="283"/>
      <c r="AB9" s="283"/>
      <c r="AD9" s="264"/>
      <c r="AE9" s="264"/>
      <c r="AF9" s="264"/>
      <c r="AG9" s="264"/>
      <c r="AH9" s="264"/>
      <c r="AI9" s="264"/>
    </row>
    <row r="10" spans="1:28" s="295" customFormat="1" ht="15.75">
      <c r="A10" s="284">
        <v>2</v>
      </c>
      <c r="B10" s="284">
        <v>0</v>
      </c>
      <c r="C10" s="284" t="s">
        <v>1592</v>
      </c>
      <c r="D10" s="284" t="s">
        <v>3165</v>
      </c>
      <c r="E10" s="285" t="s">
        <v>2427</v>
      </c>
      <c r="F10" s="286" t="s">
        <v>1593</v>
      </c>
      <c r="G10" s="284">
        <v>260</v>
      </c>
      <c r="H10" s="284">
        <v>18</v>
      </c>
      <c r="I10" s="284">
        <v>0.95</v>
      </c>
      <c r="J10" s="287">
        <f t="shared" si="0"/>
        <v>406716.92307692306</v>
      </c>
      <c r="K10" s="288">
        <v>6.04</v>
      </c>
      <c r="L10" s="289">
        <f t="shared" si="1"/>
        <v>143659.07692307694</v>
      </c>
      <c r="M10" s="288">
        <v>5</v>
      </c>
      <c r="N10" s="289">
        <f t="shared" si="2"/>
        <v>118923.07692307692</v>
      </c>
      <c r="O10" s="290">
        <v>35.1</v>
      </c>
      <c r="P10" s="291" t="s">
        <v>1590</v>
      </c>
      <c r="Q10" s="288">
        <v>1.05</v>
      </c>
      <c r="R10" s="289">
        <f t="shared" si="3"/>
        <v>706945.9761</v>
      </c>
      <c r="S10" s="292" t="s">
        <v>1591</v>
      </c>
      <c r="T10" s="289">
        <f>Nii4</f>
        <v>145974.23076923078</v>
      </c>
      <c r="U10" s="250">
        <f>ROUND((J10+L10+N10+R10+T10),0)</f>
        <v>1522219</v>
      </c>
      <c r="V10" s="250">
        <v>1543073</v>
      </c>
      <c r="W10" s="250">
        <v>1522219</v>
      </c>
      <c r="X10" s="250">
        <v>1491634</v>
      </c>
      <c r="Y10" s="293">
        <v>618400</v>
      </c>
      <c r="Z10" s="294"/>
      <c r="AA10" s="251"/>
      <c r="AB10" s="251"/>
    </row>
    <row r="11" spans="1:28" s="295" customFormat="1" ht="15.75">
      <c r="A11" s="284">
        <v>3</v>
      </c>
      <c r="B11" s="284" t="s">
        <v>589</v>
      </c>
      <c r="C11" s="284" t="s">
        <v>1594</v>
      </c>
      <c r="D11" s="284" t="s">
        <v>3166</v>
      </c>
      <c r="E11" s="285" t="s">
        <v>2428</v>
      </c>
      <c r="F11" s="286" t="s">
        <v>1595</v>
      </c>
      <c r="G11" s="284">
        <v>260</v>
      </c>
      <c r="H11" s="284">
        <v>17</v>
      </c>
      <c r="I11" s="284">
        <v>0.95</v>
      </c>
      <c r="J11" s="287">
        <f t="shared" si="0"/>
        <v>454498.26923076925</v>
      </c>
      <c r="K11" s="288">
        <v>5.76</v>
      </c>
      <c r="L11" s="289">
        <f t="shared" si="1"/>
        <v>162099.69230769228</v>
      </c>
      <c r="M11" s="288">
        <v>5</v>
      </c>
      <c r="N11" s="289">
        <f t="shared" si="2"/>
        <v>140711.53846153844</v>
      </c>
      <c r="O11" s="290">
        <v>42.66</v>
      </c>
      <c r="P11" s="291" t="s">
        <v>1590</v>
      </c>
      <c r="Q11" s="288">
        <v>1.05</v>
      </c>
      <c r="R11" s="289">
        <f t="shared" si="3"/>
        <v>859211.2632599999</v>
      </c>
      <c r="S11" s="292" t="s">
        <v>1591</v>
      </c>
      <c r="T11" s="289">
        <f>Nii4</f>
        <v>145974.23076923078</v>
      </c>
      <c r="U11" s="250">
        <f>ROUND((J11+L11+N11+R11+T11),0)</f>
        <v>1762495</v>
      </c>
      <c r="V11" s="250">
        <v>1783348</v>
      </c>
      <c r="W11" s="250">
        <v>1762495</v>
      </c>
      <c r="X11" s="250">
        <v>1731910</v>
      </c>
      <c r="Y11" s="293">
        <v>731700</v>
      </c>
      <c r="Z11" s="294"/>
      <c r="AA11" s="251"/>
      <c r="AB11" s="251"/>
    </row>
    <row r="12" spans="1:28" s="295" customFormat="1" ht="15.75">
      <c r="A12" s="284">
        <v>4</v>
      </c>
      <c r="B12" s="284" t="s">
        <v>590</v>
      </c>
      <c r="C12" s="284" t="s">
        <v>1596</v>
      </c>
      <c r="D12" s="284" t="s">
        <v>3167</v>
      </c>
      <c r="E12" s="285" t="s">
        <v>2429</v>
      </c>
      <c r="F12" s="286" t="s">
        <v>1597</v>
      </c>
      <c r="G12" s="284">
        <v>260</v>
      </c>
      <c r="H12" s="284">
        <v>17</v>
      </c>
      <c r="I12" s="284">
        <v>0.95</v>
      </c>
      <c r="J12" s="287">
        <f t="shared" si="0"/>
        <v>534316.5384615385</v>
      </c>
      <c r="K12" s="288">
        <v>5.76</v>
      </c>
      <c r="L12" s="289">
        <f t="shared" si="1"/>
        <v>190567.38461538462</v>
      </c>
      <c r="M12" s="288">
        <v>5</v>
      </c>
      <c r="N12" s="289">
        <f t="shared" si="2"/>
        <v>165423.07692307694</v>
      </c>
      <c r="O12" s="290">
        <v>51.3</v>
      </c>
      <c r="P12" s="291" t="s">
        <v>1590</v>
      </c>
      <c r="Q12" s="288">
        <v>1.05</v>
      </c>
      <c r="R12" s="289">
        <f t="shared" si="3"/>
        <v>1033228.7343</v>
      </c>
      <c r="S12" s="292" t="s">
        <v>1591</v>
      </c>
      <c r="T12" s="289">
        <f>Nii4</f>
        <v>145974.23076923078</v>
      </c>
      <c r="U12" s="250">
        <f>(J12+L12+N12+R12+T12)-1</f>
        <v>2069508.9650692309</v>
      </c>
      <c r="V12" s="250">
        <v>2090363.4266076924</v>
      </c>
      <c r="W12" s="250">
        <v>2069508.9650692309</v>
      </c>
      <c r="X12" s="250">
        <v>2038924.888146154</v>
      </c>
      <c r="Y12" s="293">
        <v>860200</v>
      </c>
      <c r="Z12" s="294">
        <v>-1</v>
      </c>
      <c r="AA12" s="251"/>
      <c r="AB12" s="251"/>
    </row>
    <row r="13" spans="1:28" s="295" customFormat="1" ht="15.75">
      <c r="A13" s="284">
        <v>5</v>
      </c>
      <c r="B13" s="284">
        <v>0</v>
      </c>
      <c r="C13" s="284" t="s">
        <v>1598</v>
      </c>
      <c r="D13" s="284" t="s">
        <v>3168</v>
      </c>
      <c r="E13" s="285" t="s">
        <v>2430</v>
      </c>
      <c r="F13" s="286" t="s">
        <v>1599</v>
      </c>
      <c r="G13" s="284">
        <v>260</v>
      </c>
      <c r="H13" s="284">
        <v>17</v>
      </c>
      <c r="I13" s="284">
        <v>0.95</v>
      </c>
      <c r="J13" s="287">
        <f t="shared" si="0"/>
        <v>603575.1923076923</v>
      </c>
      <c r="K13" s="288">
        <v>5.76</v>
      </c>
      <c r="L13" s="289">
        <f t="shared" si="1"/>
        <v>215268.92307692306</v>
      </c>
      <c r="M13" s="288">
        <v>5</v>
      </c>
      <c r="N13" s="289">
        <f t="shared" si="2"/>
        <v>186865.38461538462</v>
      </c>
      <c r="O13" s="290">
        <v>59.4</v>
      </c>
      <c r="P13" s="291" t="s">
        <v>1590</v>
      </c>
      <c r="Q13" s="288">
        <v>1.05</v>
      </c>
      <c r="R13" s="289">
        <f t="shared" si="3"/>
        <v>1196370.1134000001</v>
      </c>
      <c r="S13" s="292" t="s">
        <v>1600</v>
      </c>
      <c r="T13" s="296">
        <f>Nii3+Nii5</f>
        <v>296019.23076923075</v>
      </c>
      <c r="U13" s="250">
        <f>ROUND((J13+L13+N13+R13+T13),0)-1</f>
        <v>2498098</v>
      </c>
      <c r="V13" s="250">
        <v>2540388</v>
      </c>
      <c r="W13" s="250">
        <v>2498098</v>
      </c>
      <c r="X13" s="250">
        <v>2436076</v>
      </c>
      <c r="Y13" s="293">
        <v>971700</v>
      </c>
      <c r="Z13" s="294">
        <v>-1</v>
      </c>
      <c r="AA13" s="251"/>
      <c r="AB13" s="251"/>
    </row>
    <row r="14" spans="1:28" s="295" customFormat="1" ht="15.75">
      <c r="A14" s="284">
        <v>6</v>
      </c>
      <c r="B14" s="284" t="s">
        <v>591</v>
      </c>
      <c r="C14" s="284" t="s">
        <v>1601</v>
      </c>
      <c r="D14" s="284" t="s">
        <v>3169</v>
      </c>
      <c r="E14" s="285" t="s">
        <v>809</v>
      </c>
      <c r="F14" s="286" t="s">
        <v>1602</v>
      </c>
      <c r="G14" s="284">
        <v>260</v>
      </c>
      <c r="H14" s="284">
        <v>17</v>
      </c>
      <c r="I14" s="284">
        <v>0.95</v>
      </c>
      <c r="J14" s="287">
        <f t="shared" si="0"/>
        <v>663951.3461538462</v>
      </c>
      <c r="K14" s="288">
        <v>5.76</v>
      </c>
      <c r="L14" s="289">
        <f t="shared" si="1"/>
        <v>236802.46153846153</v>
      </c>
      <c r="M14" s="288">
        <v>5</v>
      </c>
      <c r="N14" s="289">
        <f t="shared" si="2"/>
        <v>205557.6923076923</v>
      </c>
      <c r="O14" s="290">
        <v>64.8</v>
      </c>
      <c r="P14" s="291" t="s">
        <v>1590</v>
      </c>
      <c r="Q14" s="288">
        <v>1.05</v>
      </c>
      <c r="R14" s="289">
        <f t="shared" si="3"/>
        <v>1305131.0328</v>
      </c>
      <c r="S14" s="292" t="s">
        <v>1600</v>
      </c>
      <c r="T14" s="296">
        <f>Nii3+Nii5</f>
        <v>296019.23076923075</v>
      </c>
      <c r="U14" s="250">
        <f>ROUND((J14+L14+N14+R14+T14),0)-1</f>
        <v>2707461</v>
      </c>
      <c r="V14" s="250">
        <v>2749751</v>
      </c>
      <c r="W14" s="250">
        <v>2707461</v>
      </c>
      <c r="X14" s="250">
        <v>2645439</v>
      </c>
      <c r="Y14" s="293">
        <v>1068900</v>
      </c>
      <c r="Z14" s="294">
        <v>-1</v>
      </c>
      <c r="AA14" s="251"/>
      <c r="AB14" s="251"/>
    </row>
    <row r="15" spans="1:28" s="295" customFormat="1" ht="15.75">
      <c r="A15" s="284">
        <v>7</v>
      </c>
      <c r="B15" s="284">
        <v>0</v>
      </c>
      <c r="C15" s="284" t="s">
        <v>1603</v>
      </c>
      <c r="D15" s="284" t="s">
        <v>3170</v>
      </c>
      <c r="E15" s="285" t="s">
        <v>2431</v>
      </c>
      <c r="F15" s="286" t="s">
        <v>1604</v>
      </c>
      <c r="G15" s="284">
        <v>260</v>
      </c>
      <c r="H15" s="284">
        <v>17</v>
      </c>
      <c r="I15" s="284">
        <v>0.95</v>
      </c>
      <c r="J15" s="287">
        <f t="shared" si="0"/>
        <v>746751.1538461539</v>
      </c>
      <c r="K15" s="288">
        <v>5.76</v>
      </c>
      <c r="L15" s="289">
        <f t="shared" si="1"/>
        <v>266333.53846153844</v>
      </c>
      <c r="M15" s="288">
        <v>5</v>
      </c>
      <c r="N15" s="289">
        <f t="shared" si="2"/>
        <v>231192.3076923077</v>
      </c>
      <c r="O15" s="290">
        <v>74.52</v>
      </c>
      <c r="P15" s="291" t="s">
        <v>1590</v>
      </c>
      <c r="Q15" s="288">
        <v>1.05</v>
      </c>
      <c r="R15" s="289">
        <f t="shared" si="3"/>
        <v>1500900.6877199998</v>
      </c>
      <c r="S15" s="292" t="s">
        <v>1605</v>
      </c>
      <c r="T15" s="296">
        <f>'Nhan cong'!M$42+'Nhan cong'!M$49</f>
        <v>344359.6153846154</v>
      </c>
      <c r="U15" s="250">
        <f>ROUND((J15+L15+N15+R15+T15),0)</f>
        <v>3089537</v>
      </c>
      <c r="V15" s="250">
        <v>3138732</v>
      </c>
      <c r="W15" s="250">
        <v>3089537</v>
      </c>
      <c r="X15" s="250">
        <v>3017386</v>
      </c>
      <c r="Y15" s="293">
        <v>1202200</v>
      </c>
      <c r="Z15" s="294"/>
      <c r="AA15" s="251"/>
      <c r="AB15" s="251"/>
    </row>
    <row r="16" spans="1:28" s="295" customFormat="1" ht="15.75">
      <c r="A16" s="284">
        <v>8</v>
      </c>
      <c r="B16" s="284">
        <v>0</v>
      </c>
      <c r="C16" s="284" t="s">
        <v>1606</v>
      </c>
      <c r="D16" s="284" t="s">
        <v>3171</v>
      </c>
      <c r="E16" s="285" t="s">
        <v>2432</v>
      </c>
      <c r="F16" s="286" t="s">
        <v>1607</v>
      </c>
      <c r="G16" s="284">
        <v>260</v>
      </c>
      <c r="H16" s="284">
        <v>17</v>
      </c>
      <c r="I16" s="284">
        <v>0.95</v>
      </c>
      <c r="J16" s="287">
        <f t="shared" si="0"/>
        <v>1024965.9615384614</v>
      </c>
      <c r="K16" s="288">
        <v>5.76</v>
      </c>
      <c r="L16" s="289">
        <f t="shared" si="1"/>
        <v>365560.6153846153</v>
      </c>
      <c r="M16" s="288">
        <v>5</v>
      </c>
      <c r="N16" s="289">
        <f t="shared" si="2"/>
        <v>317326.9230769231</v>
      </c>
      <c r="O16" s="290">
        <v>78.3</v>
      </c>
      <c r="P16" s="291" t="s">
        <v>1590</v>
      </c>
      <c r="Q16" s="288">
        <v>1.05</v>
      </c>
      <c r="R16" s="289">
        <f t="shared" si="3"/>
        <v>1577033.3313</v>
      </c>
      <c r="S16" s="292" t="s">
        <v>1605</v>
      </c>
      <c r="T16" s="296">
        <f>'Nhan cong'!M$42+'Nhan cong'!M$49</f>
        <v>344359.6153846154</v>
      </c>
      <c r="U16" s="250">
        <f>ROUND((J16+L16+N16+R16+T16),0)</f>
        <v>3629246</v>
      </c>
      <c r="V16" s="250">
        <v>3678441</v>
      </c>
      <c r="W16" s="250">
        <v>3629246</v>
      </c>
      <c r="X16" s="250">
        <v>3557095</v>
      </c>
      <c r="Y16" s="293">
        <v>1650100</v>
      </c>
      <c r="Z16" s="294"/>
      <c r="AA16" s="251"/>
      <c r="AB16" s="251"/>
    </row>
    <row r="17" spans="1:28" s="295" customFormat="1" ht="15.75">
      <c r="A17" s="284">
        <v>9</v>
      </c>
      <c r="B17" s="284" t="s">
        <v>592</v>
      </c>
      <c r="C17" s="284" t="s">
        <v>1608</v>
      </c>
      <c r="D17" s="284" t="s">
        <v>3172</v>
      </c>
      <c r="E17" s="285" t="s">
        <v>2433</v>
      </c>
      <c r="F17" s="286" t="s">
        <v>1609</v>
      </c>
      <c r="G17" s="284">
        <v>260</v>
      </c>
      <c r="H17" s="284">
        <v>17</v>
      </c>
      <c r="I17" s="284">
        <v>0.95</v>
      </c>
      <c r="J17" s="287">
        <f t="shared" si="0"/>
        <v>1045774.6153846154</v>
      </c>
      <c r="K17" s="288">
        <v>5.76</v>
      </c>
      <c r="L17" s="289">
        <f t="shared" si="1"/>
        <v>372982.1538461538</v>
      </c>
      <c r="M17" s="288">
        <v>5</v>
      </c>
      <c r="N17" s="289">
        <f t="shared" si="2"/>
        <v>323769.23076923075</v>
      </c>
      <c r="O17" s="290">
        <v>82.62</v>
      </c>
      <c r="P17" s="291" t="s">
        <v>1590</v>
      </c>
      <c r="Q17" s="288">
        <v>1.05</v>
      </c>
      <c r="R17" s="289">
        <f t="shared" si="3"/>
        <v>1664042.0668200003</v>
      </c>
      <c r="S17" s="292" t="s">
        <v>1605</v>
      </c>
      <c r="T17" s="296">
        <f>'Nhan cong'!M$42+'Nhan cong'!M$49</f>
        <v>344359.6153846154</v>
      </c>
      <c r="U17" s="250">
        <f>ROUND((J17+L17+N17+R17+T17),0)-1</f>
        <v>3750927</v>
      </c>
      <c r="V17" s="250">
        <v>3800122</v>
      </c>
      <c r="W17" s="250">
        <v>3750927</v>
      </c>
      <c r="X17" s="250">
        <v>3678776</v>
      </c>
      <c r="Y17" s="293">
        <v>1683600</v>
      </c>
      <c r="Z17" s="294">
        <v>-1</v>
      </c>
      <c r="AA17" s="251"/>
      <c r="AB17" s="251"/>
    </row>
    <row r="18" spans="1:28" s="295" customFormat="1" ht="15.75">
      <c r="A18" s="284">
        <v>10</v>
      </c>
      <c r="B18" s="284" t="s">
        <v>593</v>
      </c>
      <c r="C18" s="284" t="s">
        <v>1610</v>
      </c>
      <c r="D18" s="284" t="s">
        <v>3173</v>
      </c>
      <c r="E18" s="285" t="s">
        <v>2434</v>
      </c>
      <c r="F18" s="286" t="s">
        <v>1611</v>
      </c>
      <c r="G18" s="284">
        <v>260</v>
      </c>
      <c r="H18" s="284">
        <v>16</v>
      </c>
      <c r="I18" s="284">
        <v>0.95</v>
      </c>
      <c r="J18" s="287">
        <f t="shared" si="0"/>
        <v>1185249.2307692308</v>
      </c>
      <c r="K18" s="288">
        <v>5.48</v>
      </c>
      <c r="L18" s="289">
        <f t="shared" si="1"/>
        <v>427313.5384615385</v>
      </c>
      <c r="M18" s="288">
        <v>5</v>
      </c>
      <c r="N18" s="289">
        <f t="shared" si="2"/>
        <v>389884.6153846154</v>
      </c>
      <c r="O18" s="290">
        <v>113.22</v>
      </c>
      <c r="P18" s="291" t="s">
        <v>1590</v>
      </c>
      <c r="Q18" s="288">
        <v>1.05</v>
      </c>
      <c r="R18" s="289">
        <f t="shared" si="3"/>
        <v>2280353.94342</v>
      </c>
      <c r="S18" s="292" t="s">
        <v>1605</v>
      </c>
      <c r="T18" s="296">
        <f>'Nhan cong'!M$42+'Nhan cong'!M$49</f>
        <v>344359.6153846154</v>
      </c>
      <c r="U18" s="250">
        <f>ROUND((J18+L18+N18+R18+T18),0)-1</f>
        <v>4627160</v>
      </c>
      <c r="V18" s="250">
        <v>4676355</v>
      </c>
      <c r="W18" s="250">
        <v>4627160</v>
      </c>
      <c r="X18" s="250">
        <v>4555009</v>
      </c>
      <c r="Y18" s="293">
        <v>2027400</v>
      </c>
      <c r="Z18" s="294">
        <v>-1</v>
      </c>
      <c r="AA18" s="251"/>
      <c r="AB18" s="251"/>
    </row>
    <row r="19" spans="1:28" s="295" customFormat="1" ht="15.75">
      <c r="A19" s="284">
        <v>11</v>
      </c>
      <c r="B19" s="284">
        <v>0</v>
      </c>
      <c r="C19" s="284" t="s">
        <v>1612</v>
      </c>
      <c r="D19" s="284" t="s">
        <v>3174</v>
      </c>
      <c r="E19" s="285" t="s">
        <v>2435</v>
      </c>
      <c r="F19" s="286" t="s">
        <v>1613</v>
      </c>
      <c r="G19" s="284">
        <v>260</v>
      </c>
      <c r="H19" s="284">
        <v>16</v>
      </c>
      <c r="I19" s="284">
        <v>0.95</v>
      </c>
      <c r="J19" s="287">
        <f t="shared" si="0"/>
        <v>1522572.3076923077</v>
      </c>
      <c r="K19" s="288">
        <v>5.48</v>
      </c>
      <c r="L19" s="289">
        <f t="shared" si="1"/>
        <v>548927.3846153846</v>
      </c>
      <c r="M19" s="288">
        <v>5</v>
      </c>
      <c r="N19" s="289">
        <f t="shared" si="2"/>
        <v>500846.1538461539</v>
      </c>
      <c r="O19" s="290">
        <v>127.5</v>
      </c>
      <c r="P19" s="291" t="s">
        <v>1590</v>
      </c>
      <c r="Q19" s="288">
        <v>1.05</v>
      </c>
      <c r="R19" s="289">
        <f t="shared" si="3"/>
        <v>2567966.1525</v>
      </c>
      <c r="S19" s="292" t="s">
        <v>1614</v>
      </c>
      <c r="T19" s="296">
        <f>'Nhan cong'!M$42+'Nhan cong'!M$50</f>
        <v>377943.46153846156</v>
      </c>
      <c r="U19" s="250">
        <f>ROUND((J19+L19+N19+R19+T19),0)-1</f>
        <v>5518254</v>
      </c>
      <c r="V19" s="250">
        <v>5572247</v>
      </c>
      <c r="W19" s="250">
        <v>5518254</v>
      </c>
      <c r="X19" s="250">
        <v>5439067</v>
      </c>
      <c r="Y19" s="293">
        <v>2604400</v>
      </c>
      <c r="Z19" s="294">
        <v>-1</v>
      </c>
      <c r="AA19" s="251"/>
      <c r="AB19" s="251"/>
    </row>
    <row r="20" spans="1:28" s="295" customFormat="1" ht="15.75">
      <c r="A20" s="284">
        <v>12</v>
      </c>
      <c r="B20" s="284" t="s">
        <v>594</v>
      </c>
      <c r="C20" s="284" t="s">
        <v>1615</v>
      </c>
      <c r="D20" s="284" t="s">
        <v>3175</v>
      </c>
      <c r="E20" s="285" t="s">
        <v>810</v>
      </c>
      <c r="F20" s="286" t="s">
        <v>1616</v>
      </c>
      <c r="G20" s="284">
        <v>260</v>
      </c>
      <c r="H20" s="284">
        <v>16</v>
      </c>
      <c r="I20" s="284">
        <v>0.95</v>
      </c>
      <c r="J20" s="287">
        <f t="shared" si="0"/>
        <v>1720815.3846153845</v>
      </c>
      <c r="K20" s="288">
        <v>5.48</v>
      </c>
      <c r="L20" s="289">
        <f t="shared" si="1"/>
        <v>620399.2307692309</v>
      </c>
      <c r="M20" s="288">
        <v>5</v>
      </c>
      <c r="N20" s="289">
        <f t="shared" si="2"/>
        <v>566057.6923076923</v>
      </c>
      <c r="O20" s="290">
        <v>137.7</v>
      </c>
      <c r="P20" s="291" t="s">
        <v>1590</v>
      </c>
      <c r="Q20" s="288">
        <v>1.05</v>
      </c>
      <c r="R20" s="289">
        <f t="shared" si="3"/>
        <v>2773403.4447</v>
      </c>
      <c r="S20" s="292" t="s">
        <v>1614</v>
      </c>
      <c r="T20" s="296">
        <f>'Nhan cong'!M$42+'Nhan cong'!M$50</f>
        <v>377943.46153846156</v>
      </c>
      <c r="U20" s="250">
        <f>ROUND((J20+L20+N20+R20+T20),0)-2</f>
        <v>6058617</v>
      </c>
      <c r="V20" s="250">
        <v>6112611</v>
      </c>
      <c r="W20" s="250">
        <v>6058617</v>
      </c>
      <c r="X20" s="250">
        <v>5979431</v>
      </c>
      <c r="Y20" s="293">
        <v>2943500</v>
      </c>
      <c r="Z20" s="294">
        <v>-2</v>
      </c>
      <c r="AA20" s="251"/>
      <c r="AB20" s="251"/>
    </row>
    <row r="21" spans="1:28" s="295" customFormat="1" ht="15.75">
      <c r="A21" s="284">
        <v>13</v>
      </c>
      <c r="B21" s="284">
        <v>0</v>
      </c>
      <c r="C21" s="284" t="s">
        <v>1617</v>
      </c>
      <c r="D21" s="284" t="s">
        <v>3176</v>
      </c>
      <c r="E21" s="285" t="s">
        <v>2436</v>
      </c>
      <c r="F21" s="286" t="s">
        <v>1618</v>
      </c>
      <c r="G21" s="284">
        <v>300</v>
      </c>
      <c r="H21" s="284">
        <v>16</v>
      </c>
      <c r="I21" s="284">
        <v>0.95</v>
      </c>
      <c r="J21" s="287">
        <f t="shared" si="0"/>
        <v>1773688</v>
      </c>
      <c r="K21" s="288">
        <v>5.48</v>
      </c>
      <c r="L21" s="289">
        <f t="shared" si="1"/>
        <v>639461.2000000001</v>
      </c>
      <c r="M21" s="288">
        <v>5</v>
      </c>
      <c r="N21" s="289">
        <f t="shared" si="2"/>
        <v>583450</v>
      </c>
      <c r="O21" s="290">
        <v>163.71</v>
      </c>
      <c r="P21" s="291" t="s">
        <v>1590</v>
      </c>
      <c r="Q21" s="288">
        <v>1.05</v>
      </c>
      <c r="R21" s="289">
        <f t="shared" si="3"/>
        <v>3297268.53981</v>
      </c>
      <c r="S21" s="292" t="s">
        <v>1614</v>
      </c>
      <c r="T21" s="296">
        <f>'Nhan cong'!M$42+'Nhan cong'!M$50</f>
        <v>377943.46153846156</v>
      </c>
      <c r="U21" s="250">
        <f>ROUND((J21+L21+N21+R21+T21),0)-2</f>
        <v>6671809</v>
      </c>
      <c r="V21" s="250">
        <v>6725803</v>
      </c>
      <c r="W21" s="250">
        <v>6671809</v>
      </c>
      <c r="X21" s="250">
        <v>6592623</v>
      </c>
      <c r="Y21" s="293">
        <v>3500700</v>
      </c>
      <c r="Z21" s="294">
        <v>-2</v>
      </c>
      <c r="AA21" s="251">
        <v>6592623</v>
      </c>
      <c r="AB21" s="251"/>
    </row>
    <row r="22" spans="1:28" s="295" customFormat="1" ht="15.75">
      <c r="A22" s="284">
        <v>14</v>
      </c>
      <c r="B22" s="284" t="s">
        <v>594</v>
      </c>
      <c r="C22" s="284" t="s">
        <v>1619</v>
      </c>
      <c r="D22" s="284" t="s">
        <v>3177</v>
      </c>
      <c r="E22" s="285" t="s">
        <v>2437</v>
      </c>
      <c r="F22" s="286" t="s">
        <v>1620</v>
      </c>
      <c r="G22" s="284">
        <v>300</v>
      </c>
      <c r="H22" s="284">
        <v>14</v>
      </c>
      <c r="I22" s="284">
        <v>0.95</v>
      </c>
      <c r="J22" s="287">
        <f t="shared" si="0"/>
        <v>2715860.0000000005</v>
      </c>
      <c r="K22" s="288">
        <v>4.08</v>
      </c>
      <c r="L22" s="289">
        <f t="shared" si="1"/>
        <v>833136.0000000001</v>
      </c>
      <c r="M22" s="288">
        <v>5</v>
      </c>
      <c r="N22" s="289">
        <f t="shared" si="2"/>
        <v>1021000</v>
      </c>
      <c r="O22" s="290">
        <v>196.35</v>
      </c>
      <c r="P22" s="291" t="s">
        <v>1590</v>
      </c>
      <c r="Q22" s="288">
        <v>1.05</v>
      </c>
      <c r="R22" s="289">
        <f t="shared" si="3"/>
        <v>3954667.87485</v>
      </c>
      <c r="S22" s="292" t="s">
        <v>1614</v>
      </c>
      <c r="T22" s="296">
        <f>'Nhan cong'!M$42+'Nhan cong'!M$50</f>
        <v>377943.46153846156</v>
      </c>
      <c r="U22" s="250">
        <f>ROUND((J22+L22+N22+R22+T22),0)-2</f>
        <v>8902605</v>
      </c>
      <c r="V22" s="250">
        <v>8956599</v>
      </c>
      <c r="W22" s="250">
        <v>8902605</v>
      </c>
      <c r="X22" s="250">
        <v>8823419</v>
      </c>
      <c r="Y22" s="293">
        <v>6126000</v>
      </c>
      <c r="Z22" s="294">
        <v>-2</v>
      </c>
      <c r="AA22" s="251">
        <v>8823419</v>
      </c>
      <c r="AB22" s="251"/>
    </row>
    <row r="23" spans="1:28" s="295" customFormat="1" ht="15.75">
      <c r="A23" s="284">
        <v>15</v>
      </c>
      <c r="B23" s="284" t="s">
        <v>595</v>
      </c>
      <c r="C23" s="284" t="s">
        <v>1621</v>
      </c>
      <c r="D23" s="284" t="s">
        <v>3178</v>
      </c>
      <c r="E23" s="285" t="s">
        <v>2438</v>
      </c>
      <c r="F23" s="286" t="s">
        <v>1622</v>
      </c>
      <c r="G23" s="284">
        <v>300</v>
      </c>
      <c r="H23" s="284">
        <v>14</v>
      </c>
      <c r="I23" s="284">
        <v>0.95</v>
      </c>
      <c r="J23" s="287">
        <f t="shared" si="0"/>
        <v>2883440.0000000005</v>
      </c>
      <c r="K23" s="288">
        <v>4</v>
      </c>
      <c r="L23" s="289">
        <f t="shared" si="1"/>
        <v>867200</v>
      </c>
      <c r="M23" s="288">
        <v>5</v>
      </c>
      <c r="N23" s="289">
        <f t="shared" si="2"/>
        <v>1084000</v>
      </c>
      <c r="O23" s="290">
        <v>198.9</v>
      </c>
      <c r="P23" s="291" t="s">
        <v>1590</v>
      </c>
      <c r="Q23" s="288">
        <v>1.05</v>
      </c>
      <c r="R23" s="289">
        <f t="shared" si="3"/>
        <v>4006027.1979000005</v>
      </c>
      <c r="S23" s="292" t="s">
        <v>1614</v>
      </c>
      <c r="T23" s="296">
        <f>'Nhan cong'!M$42+'Nhan cong'!M$50</f>
        <v>377943.46153846156</v>
      </c>
      <c r="U23" s="250">
        <f>ROUND((J23+L23+N23+R23+T23),0)-3</f>
        <v>9218608</v>
      </c>
      <c r="V23" s="250">
        <v>9272602</v>
      </c>
      <c r="W23" s="250">
        <v>9218608</v>
      </c>
      <c r="X23" s="250">
        <v>9139422</v>
      </c>
      <c r="Y23" s="293">
        <v>6504000</v>
      </c>
      <c r="Z23" s="294">
        <v>-3</v>
      </c>
      <c r="AA23" s="251"/>
      <c r="AB23" s="251"/>
    </row>
    <row r="24" spans="1:28" s="295" customFormat="1" ht="15.75">
      <c r="A24" s="284">
        <v>16</v>
      </c>
      <c r="B24" s="284">
        <v>0</v>
      </c>
      <c r="C24" s="284" t="s">
        <v>1623</v>
      </c>
      <c r="D24" s="284" t="s">
        <v>3179</v>
      </c>
      <c r="E24" s="285" t="s">
        <v>2439</v>
      </c>
      <c r="F24" s="286" t="s">
        <v>1624</v>
      </c>
      <c r="G24" s="284">
        <v>300</v>
      </c>
      <c r="H24" s="284">
        <v>14</v>
      </c>
      <c r="I24" s="284">
        <v>0.95</v>
      </c>
      <c r="J24" s="287">
        <f t="shared" si="0"/>
        <v>3509071.9999999995</v>
      </c>
      <c r="K24" s="288">
        <v>3.8</v>
      </c>
      <c r="L24" s="289">
        <f t="shared" si="1"/>
        <v>1002591.9999999999</v>
      </c>
      <c r="M24" s="288">
        <v>5</v>
      </c>
      <c r="N24" s="289">
        <f t="shared" si="2"/>
        <v>1319200</v>
      </c>
      <c r="O24" s="290">
        <v>218.28</v>
      </c>
      <c r="P24" s="291" t="s">
        <v>1590</v>
      </c>
      <c r="Q24" s="288">
        <v>1.05</v>
      </c>
      <c r="R24" s="289">
        <f t="shared" si="3"/>
        <v>4396358.05308</v>
      </c>
      <c r="S24" s="292" t="s">
        <v>1614</v>
      </c>
      <c r="T24" s="296">
        <f>'Nhan cong'!M$42+'Nhan cong'!M$50</f>
        <v>377943.46153846156</v>
      </c>
      <c r="U24" s="250">
        <f>ROUND((J24+L24+N24+R24+T24),0)-3</f>
        <v>10605163</v>
      </c>
      <c r="V24" s="250">
        <v>10659157</v>
      </c>
      <c r="W24" s="250">
        <v>10605163</v>
      </c>
      <c r="X24" s="250">
        <v>10525977</v>
      </c>
      <c r="Y24" s="293">
        <v>7915200</v>
      </c>
      <c r="Z24" s="294">
        <v>-3</v>
      </c>
      <c r="AA24" s="251"/>
      <c r="AB24" s="251"/>
    </row>
    <row r="25" spans="1:28" s="295" customFormat="1" ht="15.75">
      <c r="A25" s="284">
        <v>17</v>
      </c>
      <c r="B25" s="284">
        <v>0</v>
      </c>
      <c r="C25" s="284" t="s">
        <v>1625</v>
      </c>
      <c r="D25" s="284" t="s">
        <v>3180</v>
      </c>
      <c r="E25" s="285" t="s">
        <v>2440</v>
      </c>
      <c r="F25" s="286" t="s">
        <v>1626</v>
      </c>
      <c r="G25" s="284">
        <v>300</v>
      </c>
      <c r="H25" s="284">
        <v>14</v>
      </c>
      <c r="I25" s="284">
        <v>0.95</v>
      </c>
      <c r="J25" s="287">
        <f t="shared" si="0"/>
        <v>4619533.333333334</v>
      </c>
      <c r="K25" s="288">
        <v>3.8</v>
      </c>
      <c r="L25" s="289">
        <f t="shared" si="1"/>
        <v>1319866.6666666665</v>
      </c>
      <c r="M25" s="288">
        <v>5</v>
      </c>
      <c r="N25" s="289">
        <f t="shared" si="2"/>
        <v>1736666.6666666667</v>
      </c>
      <c r="O25" s="290">
        <v>332.01</v>
      </c>
      <c r="P25" s="291" t="s">
        <v>1590</v>
      </c>
      <c r="Q25" s="288">
        <v>1.05</v>
      </c>
      <c r="R25" s="289">
        <f t="shared" si="3"/>
        <v>6686983.86111</v>
      </c>
      <c r="S25" s="292" t="s">
        <v>1614</v>
      </c>
      <c r="T25" s="296">
        <f>'Nhan cong'!M$42+'Nhan cong'!M$50</f>
        <v>377943.46153846156</v>
      </c>
      <c r="U25" s="250">
        <f>ROUND((J25+L25+N25+R25+T25),0)</f>
        <v>14740994</v>
      </c>
      <c r="V25" s="250">
        <v>14794986</v>
      </c>
      <c r="W25" s="250">
        <v>14740994</v>
      </c>
      <c r="X25" s="250">
        <v>14661806</v>
      </c>
      <c r="Y25" s="293">
        <v>10420000</v>
      </c>
      <c r="Z25" s="294"/>
      <c r="AA25" s="251"/>
      <c r="AB25" s="251"/>
    </row>
    <row r="26" spans="1:28" s="295" customFormat="1" ht="15.75">
      <c r="A26" s="284">
        <v>18</v>
      </c>
      <c r="B26" s="284">
        <v>0</v>
      </c>
      <c r="C26" s="284" t="s">
        <v>1627</v>
      </c>
      <c r="D26" s="284" t="s">
        <v>3181</v>
      </c>
      <c r="E26" s="285" t="s">
        <v>2441</v>
      </c>
      <c r="F26" s="286" t="s">
        <v>1628</v>
      </c>
      <c r="G26" s="284">
        <v>300</v>
      </c>
      <c r="H26" s="284">
        <v>14</v>
      </c>
      <c r="I26" s="284">
        <v>0.95</v>
      </c>
      <c r="J26" s="287">
        <f t="shared" si="0"/>
        <v>7122194.333333333</v>
      </c>
      <c r="K26" s="288">
        <v>3.52</v>
      </c>
      <c r="L26" s="289">
        <f t="shared" si="1"/>
        <v>1884971.7333333334</v>
      </c>
      <c r="M26" s="288">
        <v>5</v>
      </c>
      <c r="N26" s="289">
        <f t="shared" si="2"/>
        <v>2677516.666666667</v>
      </c>
      <c r="O26" s="290">
        <v>397.8</v>
      </c>
      <c r="P26" s="291" t="s">
        <v>1590</v>
      </c>
      <c r="Q26" s="288">
        <v>1.05</v>
      </c>
      <c r="R26" s="289">
        <f t="shared" si="3"/>
        <v>8012054.395800001</v>
      </c>
      <c r="S26" s="292" t="s">
        <v>1614</v>
      </c>
      <c r="T26" s="296">
        <f>'Nhan cong'!M$42+'Nhan cong'!M$50</f>
        <v>377943.46153846156</v>
      </c>
      <c r="U26" s="250">
        <f>ROUND((J26+L26+N26+R26+T26),0)-5</f>
        <v>20074676</v>
      </c>
      <c r="V26" s="250">
        <v>20128672</v>
      </c>
      <c r="W26" s="250">
        <v>20074676</v>
      </c>
      <c r="X26" s="250">
        <v>19995492</v>
      </c>
      <c r="Y26" s="293">
        <v>16065100</v>
      </c>
      <c r="Z26" s="294">
        <v>-5</v>
      </c>
      <c r="AA26" s="251"/>
      <c r="AB26" s="251"/>
    </row>
    <row r="27" spans="1:28" s="295" customFormat="1" ht="15.75">
      <c r="A27" s="284">
        <v>19</v>
      </c>
      <c r="B27" s="284">
        <v>0</v>
      </c>
      <c r="C27" s="284" t="s">
        <v>1629</v>
      </c>
      <c r="D27" s="284" t="s">
        <v>3182</v>
      </c>
      <c r="E27" s="285" t="s">
        <v>2442</v>
      </c>
      <c r="F27" s="286" t="s">
        <v>1630</v>
      </c>
      <c r="G27" s="284">
        <v>300</v>
      </c>
      <c r="H27" s="284">
        <v>14</v>
      </c>
      <c r="I27" s="284">
        <v>0.95</v>
      </c>
      <c r="J27" s="287">
        <f t="shared" si="0"/>
        <v>8012496.333333334</v>
      </c>
      <c r="K27" s="288">
        <v>3.52</v>
      </c>
      <c r="L27" s="289">
        <f t="shared" si="1"/>
        <v>2120600.533333333</v>
      </c>
      <c r="M27" s="288">
        <v>5</v>
      </c>
      <c r="N27" s="289">
        <f t="shared" si="2"/>
        <v>3012216.6666666665</v>
      </c>
      <c r="O27" s="290">
        <v>408</v>
      </c>
      <c r="P27" s="291" t="s">
        <v>1590</v>
      </c>
      <c r="Q27" s="288">
        <v>1.05</v>
      </c>
      <c r="R27" s="289">
        <f t="shared" si="3"/>
        <v>8217491.688</v>
      </c>
      <c r="S27" s="292" t="s">
        <v>1614</v>
      </c>
      <c r="T27" s="296">
        <f>'Nhan cong'!M$42+'Nhan cong'!M$50</f>
        <v>377943.46153846156</v>
      </c>
      <c r="U27" s="250">
        <f>ROUND((J27+L27+N27+R27+T27),0)-5</f>
        <v>21740744</v>
      </c>
      <c r="V27" s="250">
        <v>21794740</v>
      </c>
      <c r="W27" s="250">
        <v>21740744</v>
      </c>
      <c r="X27" s="250">
        <v>21661560</v>
      </c>
      <c r="Y27" s="293">
        <v>18073300</v>
      </c>
      <c r="Z27" s="294">
        <v>-5</v>
      </c>
      <c r="AA27" s="251"/>
      <c r="AB27" s="251"/>
    </row>
    <row r="28" spans="1:28" s="295" customFormat="1" ht="15.75">
      <c r="A28" s="297"/>
      <c r="B28" s="284"/>
      <c r="C28" s="298"/>
      <c r="D28" s="284"/>
      <c r="E28" s="272"/>
      <c r="F28" s="151" t="s">
        <v>431</v>
      </c>
      <c r="G28" s="284"/>
      <c r="H28" s="284"/>
      <c r="I28" s="284"/>
      <c r="J28" s="299"/>
      <c r="K28" s="288"/>
      <c r="L28" s="289"/>
      <c r="M28" s="288"/>
      <c r="N28" s="300"/>
      <c r="O28" s="290"/>
      <c r="P28" s="291"/>
      <c r="Q28" s="288"/>
      <c r="R28" s="300"/>
      <c r="S28" s="292"/>
      <c r="T28" s="296"/>
      <c r="U28" s="250"/>
      <c r="V28" s="250"/>
      <c r="W28" s="250"/>
      <c r="X28" s="250"/>
      <c r="Y28" s="293"/>
      <c r="Z28" s="385"/>
      <c r="AA28" s="251"/>
      <c r="AB28" s="251"/>
    </row>
    <row r="29" spans="1:28" s="295" customFormat="1" ht="15.75">
      <c r="A29" s="284">
        <v>20</v>
      </c>
      <c r="B29" s="284">
        <v>0</v>
      </c>
      <c r="C29" s="284" t="s">
        <v>432</v>
      </c>
      <c r="D29" s="284" t="s">
        <v>3183</v>
      </c>
      <c r="E29" s="285" t="s">
        <v>2443</v>
      </c>
      <c r="F29" s="286" t="s">
        <v>1618</v>
      </c>
      <c r="G29" s="284">
        <v>300</v>
      </c>
      <c r="H29" s="284">
        <v>14</v>
      </c>
      <c r="I29" s="284">
        <v>0.95</v>
      </c>
      <c r="J29" s="287">
        <f>Y29*H29%*I29/G29*1000</f>
        <v>1599369.3333333335</v>
      </c>
      <c r="K29" s="288">
        <v>5.2</v>
      </c>
      <c r="L29" s="289">
        <f>(Y29*K29%)/G29*1000</f>
        <v>625317.3333333334</v>
      </c>
      <c r="M29" s="288">
        <v>5</v>
      </c>
      <c r="N29" s="289">
        <f>(Y29*M29%)/G29*1000</f>
        <v>601266.6666666666</v>
      </c>
      <c r="O29" s="290">
        <v>672</v>
      </c>
      <c r="P29" s="291" t="s">
        <v>433</v>
      </c>
      <c r="Q29" s="288">
        <v>1.07</v>
      </c>
      <c r="R29" s="289">
        <f>O29*dien*Q29</f>
        <v>818986.56</v>
      </c>
      <c r="S29" s="292" t="s">
        <v>1614</v>
      </c>
      <c r="T29" s="296">
        <f>'Nhan cong'!M$42+'Nhan cong'!M$50</f>
        <v>377943.46153846156</v>
      </c>
      <c r="U29" s="250">
        <f>ROUND((J29+L29+N29+R29+T29),0)+1</f>
        <v>4022884</v>
      </c>
      <c r="V29" s="250">
        <v>4076875</v>
      </c>
      <c r="W29" s="250">
        <v>4022884</v>
      </c>
      <c r="X29" s="250">
        <v>3943695</v>
      </c>
      <c r="Y29" s="293">
        <v>3607600</v>
      </c>
      <c r="Z29" s="294">
        <v>1</v>
      </c>
      <c r="AA29" s="251"/>
      <c r="AB29" s="251"/>
    </row>
    <row r="30" spans="1:28" s="295" customFormat="1" ht="15.75">
      <c r="A30" s="284">
        <v>21</v>
      </c>
      <c r="B30" s="284">
        <v>0</v>
      </c>
      <c r="C30" s="284" t="s">
        <v>434</v>
      </c>
      <c r="D30" s="284" t="s">
        <v>3184</v>
      </c>
      <c r="E30" s="285" t="s">
        <v>2444</v>
      </c>
      <c r="F30" s="286" t="s">
        <v>435</v>
      </c>
      <c r="G30" s="284">
        <v>300</v>
      </c>
      <c r="H30" s="284">
        <v>14</v>
      </c>
      <c r="I30" s="284">
        <v>0.95</v>
      </c>
      <c r="J30" s="287">
        <f>Y30*H30%*I30/G30*1000</f>
        <v>2215469.666666667</v>
      </c>
      <c r="K30" s="288">
        <v>4.92</v>
      </c>
      <c r="L30" s="289">
        <f>(Y30*K30%)/G30*1000</f>
        <v>819557.2</v>
      </c>
      <c r="M30" s="288">
        <v>5</v>
      </c>
      <c r="N30" s="289">
        <f>(Y30*M30%)/G30*1000</f>
        <v>832883.3333333334</v>
      </c>
      <c r="O30" s="290">
        <v>924</v>
      </c>
      <c r="P30" s="291" t="s">
        <v>433</v>
      </c>
      <c r="Q30" s="288">
        <v>1.07</v>
      </c>
      <c r="R30" s="289">
        <f>O30*dien*Q30</f>
        <v>1126106.52</v>
      </c>
      <c r="S30" s="292" t="s">
        <v>1614</v>
      </c>
      <c r="T30" s="296">
        <f>'Nhan cong'!M$42+'Nhan cong'!M$50</f>
        <v>377943.46153846156</v>
      </c>
      <c r="U30" s="250">
        <f>ROUND((J30+L30+N30+R30+T30),0)+1</f>
        <v>5371961</v>
      </c>
      <c r="V30" s="250">
        <v>5425952</v>
      </c>
      <c r="W30" s="250">
        <v>5371961</v>
      </c>
      <c r="X30" s="250">
        <v>5292772</v>
      </c>
      <c r="Y30" s="293">
        <v>4997300</v>
      </c>
      <c r="Z30" s="294">
        <v>1</v>
      </c>
      <c r="AA30" s="251"/>
      <c r="AB30" s="251"/>
    </row>
    <row r="31" spans="1:28" s="295" customFormat="1" ht="15.75">
      <c r="A31" s="284">
        <v>22</v>
      </c>
      <c r="B31" s="284">
        <v>0</v>
      </c>
      <c r="C31" s="284" t="s">
        <v>436</v>
      </c>
      <c r="D31" s="284" t="s">
        <v>3185</v>
      </c>
      <c r="E31" s="285" t="s">
        <v>2445</v>
      </c>
      <c r="F31" s="286" t="s">
        <v>437</v>
      </c>
      <c r="G31" s="284">
        <v>300</v>
      </c>
      <c r="H31" s="284">
        <v>14</v>
      </c>
      <c r="I31" s="284">
        <v>0.95</v>
      </c>
      <c r="J31" s="287">
        <f>Y31*H31%*I31/G31*1000</f>
        <v>3092870.6666666665</v>
      </c>
      <c r="K31" s="288">
        <v>4.92</v>
      </c>
      <c r="L31" s="289">
        <f>(Y31*K31%)/G31*1000</f>
        <v>1144129.6</v>
      </c>
      <c r="M31" s="288">
        <v>5</v>
      </c>
      <c r="N31" s="289">
        <f>(Y31*M31%)/G31*1000</f>
        <v>1162733.3333333333</v>
      </c>
      <c r="O31" s="290">
        <v>1050</v>
      </c>
      <c r="P31" s="291" t="s">
        <v>433</v>
      </c>
      <c r="Q31" s="288">
        <v>1.07</v>
      </c>
      <c r="R31" s="289">
        <f>O31*dien*Q31</f>
        <v>1279666.5</v>
      </c>
      <c r="S31" s="292" t="s">
        <v>1614</v>
      </c>
      <c r="T31" s="296">
        <f>'Nhan cong'!M$42+'Nhan cong'!M$50</f>
        <v>377943.46153846156</v>
      </c>
      <c r="U31" s="250">
        <f>ROUND((J31+L31+N31+R31+T31),0)</f>
        <v>7057344</v>
      </c>
      <c r="V31" s="250">
        <v>7111335</v>
      </c>
      <c r="W31" s="250">
        <v>7057344</v>
      </c>
      <c r="X31" s="250">
        <v>6978155</v>
      </c>
      <c r="Y31" s="293">
        <v>6976400</v>
      </c>
      <c r="Z31" s="294"/>
      <c r="AA31" s="251"/>
      <c r="AB31" s="251"/>
    </row>
    <row r="32" spans="1:28" s="295" customFormat="1" ht="15.75">
      <c r="A32" s="284">
        <v>23</v>
      </c>
      <c r="B32" s="284">
        <v>0</v>
      </c>
      <c r="C32" s="284" t="s">
        <v>438</v>
      </c>
      <c r="D32" s="284" t="s">
        <v>3186</v>
      </c>
      <c r="E32" s="285" t="s">
        <v>2446</v>
      </c>
      <c r="F32" s="286" t="s">
        <v>439</v>
      </c>
      <c r="G32" s="284">
        <v>300</v>
      </c>
      <c r="H32" s="284">
        <v>14</v>
      </c>
      <c r="I32" s="284">
        <v>0.95</v>
      </c>
      <c r="J32" s="287">
        <f>Y32*H32%*I32/G32*1000</f>
        <v>3216294.6666666665</v>
      </c>
      <c r="K32" s="288">
        <v>4.42</v>
      </c>
      <c r="L32" s="289">
        <f>(Y32*K32%)/G32*1000</f>
        <v>1068873.8666666665</v>
      </c>
      <c r="M32" s="288">
        <v>5</v>
      </c>
      <c r="N32" s="289">
        <f>(Y32*M32%)/G32*1000</f>
        <v>1209133.3333333335</v>
      </c>
      <c r="O32" s="290">
        <v>1134</v>
      </c>
      <c r="P32" s="291" t="s">
        <v>433</v>
      </c>
      <c r="Q32" s="288">
        <v>1.07</v>
      </c>
      <c r="R32" s="289">
        <f>O32*dien*Q32</f>
        <v>1382039.82</v>
      </c>
      <c r="S32" s="292" t="s">
        <v>1614</v>
      </c>
      <c r="T32" s="296">
        <f>'Nhan cong'!M$42+'Nhan cong'!M$50</f>
        <v>377943.46153846156</v>
      </c>
      <c r="U32" s="250">
        <f>ROUND((J32+L32+N32+R32+T32),0)+1</f>
        <v>7254286</v>
      </c>
      <c r="V32" s="250">
        <v>7308277</v>
      </c>
      <c r="W32" s="250">
        <v>7254286</v>
      </c>
      <c r="X32" s="250">
        <v>7175097</v>
      </c>
      <c r="Y32" s="293">
        <v>7254800</v>
      </c>
      <c r="Z32" s="294">
        <v>1</v>
      </c>
      <c r="AA32" s="251"/>
      <c r="AB32" s="251"/>
    </row>
    <row r="33" spans="1:28" s="295" customFormat="1" ht="15.75">
      <c r="A33" s="284">
        <v>24</v>
      </c>
      <c r="B33" s="284">
        <v>0</v>
      </c>
      <c r="C33" s="284" t="s">
        <v>440</v>
      </c>
      <c r="D33" s="284" t="s">
        <v>3187</v>
      </c>
      <c r="E33" s="285" t="s">
        <v>2447</v>
      </c>
      <c r="F33" s="286" t="s">
        <v>441</v>
      </c>
      <c r="G33" s="284">
        <v>300</v>
      </c>
      <c r="H33" s="284">
        <v>14</v>
      </c>
      <c r="I33" s="284">
        <v>0.95</v>
      </c>
      <c r="J33" s="287">
        <f>Y33*H33%*I33/G33*1000</f>
        <v>5608432.666666667</v>
      </c>
      <c r="K33" s="288">
        <v>4.42</v>
      </c>
      <c r="L33" s="289">
        <f>(Y33*K33%)/G33*1000</f>
        <v>1863855.0666666662</v>
      </c>
      <c r="M33" s="288">
        <v>5</v>
      </c>
      <c r="N33" s="289">
        <f>(Y33*M33%)/G33*1000</f>
        <v>2108433.3333333335</v>
      </c>
      <c r="O33" s="290">
        <v>2079</v>
      </c>
      <c r="P33" s="291" t="s">
        <v>433</v>
      </c>
      <c r="Q33" s="288">
        <v>1.07</v>
      </c>
      <c r="R33" s="289">
        <f>O33*dien*Q33</f>
        <v>2533739.67</v>
      </c>
      <c r="S33" s="292" t="s">
        <v>1614</v>
      </c>
      <c r="T33" s="296">
        <f>'Nhan cong'!M$42+'Nhan cong'!M$50</f>
        <v>377943.46153846156</v>
      </c>
      <c r="U33" s="250">
        <f>ROUND((J33+L33+N33+R33+T33),0)+2</f>
        <v>12492406</v>
      </c>
      <c r="V33" s="250">
        <v>12546396</v>
      </c>
      <c r="W33" s="250">
        <v>12492406</v>
      </c>
      <c r="X33" s="250">
        <v>12413216</v>
      </c>
      <c r="Y33" s="293">
        <v>12650600</v>
      </c>
      <c r="Z33" s="294">
        <v>2</v>
      </c>
      <c r="AA33" s="251"/>
      <c r="AB33" s="251"/>
    </row>
    <row r="34" spans="1:28" s="295" customFormat="1" ht="15.75">
      <c r="A34" s="297"/>
      <c r="B34" s="284"/>
      <c r="C34" s="298"/>
      <c r="D34" s="284"/>
      <c r="E34" s="272"/>
      <c r="F34" s="151" t="s">
        <v>442</v>
      </c>
      <c r="G34" s="284"/>
      <c r="H34" s="284"/>
      <c r="I34" s="284"/>
      <c r="J34" s="299"/>
      <c r="K34" s="288"/>
      <c r="L34" s="289"/>
      <c r="M34" s="288"/>
      <c r="N34" s="300"/>
      <c r="O34" s="290"/>
      <c r="P34" s="291"/>
      <c r="Q34" s="288"/>
      <c r="R34" s="300"/>
      <c r="S34" s="292"/>
      <c r="T34" s="296"/>
      <c r="U34" s="250"/>
      <c r="V34" s="250"/>
      <c r="W34" s="250"/>
      <c r="X34" s="250"/>
      <c r="Y34" s="293"/>
      <c r="Z34" s="385"/>
      <c r="AA34" s="251"/>
      <c r="AB34" s="251"/>
    </row>
    <row r="35" spans="1:28" s="295" customFormat="1" ht="15.75">
      <c r="A35" s="284">
        <v>25</v>
      </c>
      <c r="B35" s="284">
        <v>0</v>
      </c>
      <c r="C35" s="284" t="s">
        <v>443</v>
      </c>
      <c r="D35" s="284" t="s">
        <v>3188</v>
      </c>
      <c r="E35" s="285" t="s">
        <v>2448</v>
      </c>
      <c r="F35" s="286" t="s">
        <v>444</v>
      </c>
      <c r="G35" s="284">
        <v>260</v>
      </c>
      <c r="H35" s="284">
        <v>18</v>
      </c>
      <c r="I35" s="284">
        <v>0.95</v>
      </c>
      <c r="J35" s="287">
        <f>Y35*H35%*I35/G35*1000</f>
        <v>304248.4615384615</v>
      </c>
      <c r="K35" s="288">
        <v>5.68</v>
      </c>
      <c r="L35" s="289">
        <f>(Y35*K35%)/G35*1000</f>
        <v>101060.30769230767</v>
      </c>
      <c r="M35" s="288">
        <v>5</v>
      </c>
      <c r="N35" s="289">
        <f>(Y35*M35%)/G35*1000</f>
        <v>88961.53846153847</v>
      </c>
      <c r="O35" s="290">
        <v>29.7</v>
      </c>
      <c r="P35" s="291" t="s">
        <v>1590</v>
      </c>
      <c r="Q35" s="288">
        <v>1.05</v>
      </c>
      <c r="R35" s="289">
        <f>O35*diezel*Q35</f>
        <v>598185.0567000001</v>
      </c>
      <c r="S35" s="292" t="s">
        <v>1591</v>
      </c>
      <c r="T35" s="289">
        <f>'Nhan cong'!$M$42</f>
        <v>145974.23076923078</v>
      </c>
      <c r="U35" s="250">
        <f>ROUND((J35+L35+N35+R35+T35),0)-1</f>
        <v>1238429</v>
      </c>
      <c r="V35" s="250">
        <v>1259283</v>
      </c>
      <c r="W35" s="250">
        <v>1238429</v>
      </c>
      <c r="X35" s="250">
        <v>1207845</v>
      </c>
      <c r="Y35" s="293">
        <v>462600</v>
      </c>
      <c r="Z35" s="294">
        <v>-1</v>
      </c>
      <c r="AA35" s="251"/>
      <c r="AB35" s="251"/>
    </row>
    <row r="36" spans="1:28" s="295" customFormat="1" ht="15.75">
      <c r="A36" s="284">
        <v>26</v>
      </c>
      <c r="B36" s="284">
        <v>0</v>
      </c>
      <c r="C36" s="284" t="s">
        <v>445</v>
      </c>
      <c r="D36" s="284" t="s">
        <v>3189</v>
      </c>
      <c r="E36" s="285" t="s">
        <v>2449</v>
      </c>
      <c r="F36" s="286" t="s">
        <v>1593</v>
      </c>
      <c r="G36" s="284">
        <v>260</v>
      </c>
      <c r="H36" s="284">
        <v>18</v>
      </c>
      <c r="I36" s="284">
        <v>0.95</v>
      </c>
      <c r="J36" s="287">
        <f>Y36*H36%*I36/G36*1000</f>
        <v>419278.8461538461</v>
      </c>
      <c r="K36" s="288">
        <v>5.68</v>
      </c>
      <c r="L36" s="289">
        <f>(Y36*K36%)/G36*1000</f>
        <v>139269.23076923078</v>
      </c>
      <c r="M36" s="288">
        <v>5</v>
      </c>
      <c r="N36" s="289">
        <f>(Y36*M36%)/G36*1000</f>
        <v>122596.15384615384</v>
      </c>
      <c r="O36" s="290">
        <v>33.48</v>
      </c>
      <c r="P36" s="291" t="s">
        <v>1590</v>
      </c>
      <c r="Q36" s="288">
        <v>1.05</v>
      </c>
      <c r="R36" s="289">
        <f>O36*diezel*Q36</f>
        <v>674317.7002799999</v>
      </c>
      <c r="S36" s="292" t="s">
        <v>1591</v>
      </c>
      <c r="T36" s="289">
        <f>'Nhan cong'!$M$42</f>
        <v>145974.23076923078</v>
      </c>
      <c r="U36" s="250">
        <f>ROUND((J36+L36+N36+R36+T36),0)</f>
        <v>1501436</v>
      </c>
      <c r="V36" s="250">
        <v>1522290</v>
      </c>
      <c r="W36" s="250">
        <v>1501436</v>
      </c>
      <c r="X36" s="250">
        <v>1470851</v>
      </c>
      <c r="Y36" s="293">
        <v>637500</v>
      </c>
      <c r="Z36" s="294"/>
      <c r="AA36" s="251"/>
      <c r="AB36" s="251"/>
    </row>
    <row r="37" spans="1:28" s="295" customFormat="1" ht="15.75">
      <c r="A37" s="284">
        <v>27</v>
      </c>
      <c r="B37" s="284">
        <v>0</v>
      </c>
      <c r="C37" s="284" t="s">
        <v>446</v>
      </c>
      <c r="D37" s="284" t="s">
        <v>3190</v>
      </c>
      <c r="E37" s="285" t="s">
        <v>2450</v>
      </c>
      <c r="F37" s="286" t="s">
        <v>447</v>
      </c>
      <c r="G37" s="284">
        <v>260</v>
      </c>
      <c r="H37" s="284">
        <v>17</v>
      </c>
      <c r="I37" s="284">
        <v>0.95</v>
      </c>
      <c r="J37" s="287">
        <f>Y37*H37%*I37/G37*1000</f>
        <v>635316.1538461538</v>
      </c>
      <c r="K37" s="288">
        <v>5.42</v>
      </c>
      <c r="L37" s="289">
        <f>(Y37*K37%)/G37*1000</f>
        <v>213214.4615384615</v>
      </c>
      <c r="M37" s="288">
        <v>5</v>
      </c>
      <c r="N37" s="289">
        <f>(Y37*M37%)/G37*1000</f>
        <v>196692.3076923077</v>
      </c>
      <c r="O37" s="290">
        <v>56.7</v>
      </c>
      <c r="P37" s="291" t="s">
        <v>1590</v>
      </c>
      <c r="Q37" s="288">
        <v>1.05</v>
      </c>
      <c r="R37" s="289">
        <f>O37*diezel*Q37</f>
        <v>1141989.6537000001</v>
      </c>
      <c r="S37" s="292" t="s">
        <v>1600</v>
      </c>
      <c r="T37" s="296">
        <f>'Nhan cong'!M$38+'Nhan cong'!M$46</f>
        <v>296019.23076923075</v>
      </c>
      <c r="U37" s="250">
        <f>ROUND((J37+L37+N37+R37+T37),0)-1</f>
        <v>2483231</v>
      </c>
      <c r="V37" s="250">
        <v>2525521</v>
      </c>
      <c r="W37" s="250">
        <v>2483231</v>
      </c>
      <c r="X37" s="250">
        <v>2421209</v>
      </c>
      <c r="Y37" s="293">
        <v>1022800</v>
      </c>
      <c r="Z37" s="294">
        <v>-1</v>
      </c>
      <c r="AA37" s="251"/>
      <c r="AB37" s="251"/>
    </row>
    <row r="38" spans="1:28" s="295" customFormat="1" ht="15.75">
      <c r="A38" s="284">
        <v>28</v>
      </c>
      <c r="B38" s="284">
        <v>0</v>
      </c>
      <c r="C38" s="284" t="s">
        <v>448</v>
      </c>
      <c r="D38" s="284" t="s">
        <v>3191</v>
      </c>
      <c r="E38" s="285" t="s">
        <v>2451</v>
      </c>
      <c r="F38" s="286" t="s">
        <v>1609</v>
      </c>
      <c r="G38" s="284">
        <v>260</v>
      </c>
      <c r="H38" s="284">
        <v>17</v>
      </c>
      <c r="I38" s="284">
        <v>0.95</v>
      </c>
      <c r="J38" s="287">
        <f>Y38*H38%*I38/G38*1000</f>
        <v>1129444.0384615385</v>
      </c>
      <c r="K38" s="288">
        <v>4.74</v>
      </c>
      <c r="L38" s="289">
        <f>(Y38*K38%)/G38*1000</f>
        <v>331490.076923077</v>
      </c>
      <c r="M38" s="288">
        <v>5</v>
      </c>
      <c r="N38" s="289">
        <f>(Y38*M38%)/G38*1000</f>
        <v>349673.0769230769</v>
      </c>
      <c r="O38" s="290">
        <v>73.44</v>
      </c>
      <c r="P38" s="291" t="s">
        <v>1590</v>
      </c>
      <c r="Q38" s="288">
        <v>1.05</v>
      </c>
      <c r="R38" s="289">
        <f>O38*diezel*Q38</f>
        <v>1479148.50384</v>
      </c>
      <c r="S38" s="292" t="s">
        <v>1605</v>
      </c>
      <c r="T38" s="296">
        <f>'Nhan cong'!M$42+'Nhan cong'!M$49</f>
        <v>344359.6153846154</v>
      </c>
      <c r="U38" s="250">
        <f>ROUND((J38+L38+N38+R38+T38),0)</f>
        <v>3634115</v>
      </c>
      <c r="V38" s="250">
        <v>3683309</v>
      </c>
      <c r="W38" s="250">
        <v>3634115</v>
      </c>
      <c r="X38" s="250">
        <f>ROUND((M38+O38+Q38+U38+W38),0)</f>
        <v>7268309</v>
      </c>
      <c r="Y38" s="293">
        <v>1818300</v>
      </c>
      <c r="Z38" s="294">
        <v>-1</v>
      </c>
      <c r="AA38" s="251"/>
      <c r="AB38" s="251"/>
    </row>
    <row r="39" spans="1:28" s="295" customFormat="1" ht="15.75">
      <c r="A39" s="297"/>
      <c r="B39" s="284"/>
      <c r="C39" s="298"/>
      <c r="D39" s="284"/>
      <c r="E39" s="272"/>
      <c r="F39" s="149" t="s">
        <v>449</v>
      </c>
      <c r="G39" s="284"/>
      <c r="H39" s="284"/>
      <c r="I39" s="284"/>
      <c r="J39" s="299"/>
      <c r="K39" s="288"/>
      <c r="L39" s="289"/>
      <c r="M39" s="288"/>
      <c r="N39" s="300"/>
      <c r="O39" s="290"/>
      <c r="P39" s="291"/>
      <c r="Q39" s="288"/>
      <c r="R39" s="300"/>
      <c r="S39" s="292"/>
      <c r="T39" s="296"/>
      <c r="U39" s="250"/>
      <c r="V39" s="250"/>
      <c r="W39" s="250"/>
      <c r="X39" s="250"/>
      <c r="Y39" s="293"/>
      <c r="Z39" s="385"/>
      <c r="AA39" s="251"/>
      <c r="AB39" s="251"/>
    </row>
    <row r="40" spans="1:28" s="295" customFormat="1" ht="15.75">
      <c r="A40" s="284">
        <v>29</v>
      </c>
      <c r="B40" s="284" t="s">
        <v>596</v>
      </c>
      <c r="C40" s="284" t="s">
        <v>450</v>
      </c>
      <c r="D40" s="284" t="s">
        <v>811</v>
      </c>
      <c r="E40" s="285" t="s">
        <v>812</v>
      </c>
      <c r="F40" s="286" t="s">
        <v>1595</v>
      </c>
      <c r="G40" s="284">
        <v>260</v>
      </c>
      <c r="H40" s="284">
        <v>17</v>
      </c>
      <c r="I40" s="284">
        <v>0.95</v>
      </c>
      <c r="J40" s="287">
        <f aca="true" t="shared" si="4" ref="J40:J45">Y40*H40%*I40/G40*1000</f>
        <v>585499.6153846154</v>
      </c>
      <c r="K40" s="301">
        <v>5.76</v>
      </c>
      <c r="L40" s="289">
        <f aca="true" t="shared" si="5" ref="L40:L45">(Y40*K40%)/G40*1000</f>
        <v>208822.15384615387</v>
      </c>
      <c r="M40" s="301">
        <v>5</v>
      </c>
      <c r="N40" s="289">
        <f aca="true" t="shared" si="6" ref="N40:N45">(Y40*M40%)/G40*1000</f>
        <v>181269.23076923078</v>
      </c>
      <c r="O40" s="302">
        <v>59.4</v>
      </c>
      <c r="P40" s="272" t="s">
        <v>1590</v>
      </c>
      <c r="Q40" s="288">
        <v>1.05</v>
      </c>
      <c r="R40" s="289">
        <f aca="true" t="shared" si="7" ref="R40:R45">O40*diezel*Q40</f>
        <v>1196370.1134000001</v>
      </c>
      <c r="S40" s="284" t="s">
        <v>1600</v>
      </c>
      <c r="T40" s="296">
        <f>Nii3+Nii5</f>
        <v>296019.23076923075</v>
      </c>
      <c r="U40" s="250">
        <f>ROUND((J40+L40+N40+R40+T40),0)-1</f>
        <v>2467979</v>
      </c>
      <c r="V40" s="250">
        <v>2510269</v>
      </c>
      <c r="W40" s="250">
        <v>2467979</v>
      </c>
      <c r="X40" s="250">
        <v>2405957</v>
      </c>
      <c r="Y40" s="293">
        <v>942600</v>
      </c>
      <c r="Z40" s="294">
        <v>-1</v>
      </c>
      <c r="AA40" s="251"/>
      <c r="AB40" s="251"/>
    </row>
    <row r="41" spans="1:28" s="295" customFormat="1" ht="15.75">
      <c r="A41" s="284">
        <v>30</v>
      </c>
      <c r="B41" s="284" t="s">
        <v>597</v>
      </c>
      <c r="C41" s="284" t="s">
        <v>451</v>
      </c>
      <c r="D41" s="284" t="s">
        <v>813</v>
      </c>
      <c r="E41" s="285" t="s">
        <v>814</v>
      </c>
      <c r="F41" s="286" t="s">
        <v>1599</v>
      </c>
      <c r="G41" s="284">
        <v>260</v>
      </c>
      <c r="H41" s="284">
        <v>17</v>
      </c>
      <c r="I41" s="284">
        <v>0.95</v>
      </c>
      <c r="J41" s="287">
        <f t="shared" si="4"/>
        <v>644012.3076923076</v>
      </c>
      <c r="K41" s="301">
        <v>5.76</v>
      </c>
      <c r="L41" s="289">
        <f t="shared" si="5"/>
        <v>229691.07692307694</v>
      </c>
      <c r="M41" s="301">
        <v>5</v>
      </c>
      <c r="N41" s="289">
        <f t="shared" si="6"/>
        <v>199384.61538461538</v>
      </c>
      <c r="O41" s="302">
        <v>64.8</v>
      </c>
      <c r="P41" s="272" t="s">
        <v>1590</v>
      </c>
      <c r="Q41" s="288">
        <v>1.05</v>
      </c>
      <c r="R41" s="289">
        <f t="shared" si="7"/>
        <v>1305131.0328</v>
      </c>
      <c r="S41" s="284" t="s">
        <v>1600</v>
      </c>
      <c r="T41" s="296">
        <f>Nii3+Nii5</f>
        <v>296019.23076923075</v>
      </c>
      <c r="U41" s="250">
        <f>ROUND((J41+L41+N41+R41+T41),0)-1</f>
        <v>2674237</v>
      </c>
      <c r="V41" s="250">
        <v>2716527</v>
      </c>
      <c r="W41" s="250">
        <v>2674237</v>
      </c>
      <c r="X41" s="250">
        <v>2612215</v>
      </c>
      <c r="Y41" s="293">
        <v>1036800</v>
      </c>
      <c r="Z41" s="294">
        <v>-1</v>
      </c>
      <c r="AA41" s="251"/>
      <c r="AB41" s="251"/>
    </row>
    <row r="42" spans="1:28" s="295" customFormat="1" ht="15.75">
      <c r="A42" s="284">
        <v>31</v>
      </c>
      <c r="B42" s="284" t="s">
        <v>598</v>
      </c>
      <c r="C42" s="284" t="s">
        <v>452</v>
      </c>
      <c r="D42" s="284" t="s">
        <v>3192</v>
      </c>
      <c r="E42" s="285" t="s">
        <v>2452</v>
      </c>
      <c r="F42" s="286" t="s">
        <v>1604</v>
      </c>
      <c r="G42" s="284">
        <v>260</v>
      </c>
      <c r="H42" s="284">
        <v>17</v>
      </c>
      <c r="I42" s="284">
        <v>0.95</v>
      </c>
      <c r="J42" s="287">
        <f t="shared" si="4"/>
        <v>993535.576923077</v>
      </c>
      <c r="K42" s="301">
        <v>5.76</v>
      </c>
      <c r="L42" s="289">
        <f t="shared" si="5"/>
        <v>354350.76923076925</v>
      </c>
      <c r="M42" s="301">
        <v>5</v>
      </c>
      <c r="N42" s="289">
        <f t="shared" si="6"/>
        <v>307596.1538461539</v>
      </c>
      <c r="O42" s="302">
        <v>82.6</v>
      </c>
      <c r="P42" s="272" t="s">
        <v>1590</v>
      </c>
      <c r="Q42" s="288">
        <v>1.05</v>
      </c>
      <c r="R42" s="289">
        <f t="shared" si="7"/>
        <v>1663639.2486</v>
      </c>
      <c r="S42" s="284" t="s">
        <v>1605</v>
      </c>
      <c r="T42" s="296">
        <f>Nii4+Nii6</f>
        <v>344359.6153846154</v>
      </c>
      <c r="U42" s="250">
        <f>ROUND((J42+L42+N42+R42+T42),0)</f>
        <v>3663481</v>
      </c>
      <c r="V42" s="250">
        <v>3712676</v>
      </c>
      <c r="W42" s="250">
        <v>3663481</v>
      </c>
      <c r="X42" s="250">
        <v>3591329</v>
      </c>
      <c r="Y42" s="293">
        <v>1599500</v>
      </c>
      <c r="Z42" s="294"/>
      <c r="AA42" s="251"/>
      <c r="AB42" s="251"/>
    </row>
    <row r="43" spans="1:28" s="295" customFormat="1" ht="15.75">
      <c r="A43" s="284">
        <v>32</v>
      </c>
      <c r="B43" s="284" t="s">
        <v>599</v>
      </c>
      <c r="C43" s="284" t="s">
        <v>453</v>
      </c>
      <c r="D43" s="284" t="s">
        <v>3193</v>
      </c>
      <c r="E43" s="285" t="s">
        <v>2453</v>
      </c>
      <c r="F43" s="286" t="s">
        <v>1607</v>
      </c>
      <c r="G43" s="284">
        <v>260</v>
      </c>
      <c r="H43" s="284">
        <v>16</v>
      </c>
      <c r="I43" s="284">
        <v>0.95</v>
      </c>
      <c r="J43" s="287">
        <f t="shared" si="4"/>
        <v>1125969.2307692308</v>
      </c>
      <c r="K43" s="301">
        <v>5.48</v>
      </c>
      <c r="L43" s="289">
        <f t="shared" si="5"/>
        <v>405941.5384615385</v>
      </c>
      <c r="M43" s="301">
        <v>5</v>
      </c>
      <c r="N43" s="289">
        <f t="shared" si="6"/>
        <v>370384.6153846154</v>
      </c>
      <c r="O43" s="302">
        <v>113.2</v>
      </c>
      <c r="P43" s="272" t="s">
        <v>1590</v>
      </c>
      <c r="Q43" s="288">
        <v>1.05</v>
      </c>
      <c r="R43" s="289">
        <f t="shared" si="7"/>
        <v>2279951.1252</v>
      </c>
      <c r="S43" s="284" t="s">
        <v>1605</v>
      </c>
      <c r="T43" s="296">
        <f>Nii4+Nii6</f>
        <v>344359.6153846154</v>
      </c>
      <c r="U43" s="250">
        <f>ROUND((J43+L43+N43+R43+T43),0)-1</f>
        <v>4526605</v>
      </c>
      <c r="V43" s="250">
        <v>4575801</v>
      </c>
      <c r="W43" s="250">
        <v>4526605</v>
      </c>
      <c r="X43" s="250">
        <v>4454455</v>
      </c>
      <c r="Y43" s="293">
        <v>1926000</v>
      </c>
      <c r="Z43" s="294"/>
      <c r="AA43" s="251"/>
      <c r="AB43" s="251"/>
    </row>
    <row r="44" spans="1:28" s="295" customFormat="1" ht="15.75">
      <c r="A44" s="284">
        <v>33</v>
      </c>
      <c r="B44" s="284" t="s">
        <v>600</v>
      </c>
      <c r="C44" s="284" t="s">
        <v>454</v>
      </c>
      <c r="D44" s="284" t="s">
        <v>815</v>
      </c>
      <c r="E44" s="285" t="s">
        <v>816</v>
      </c>
      <c r="F44" s="286" t="s">
        <v>1611</v>
      </c>
      <c r="G44" s="284">
        <v>260</v>
      </c>
      <c r="H44" s="284">
        <v>16</v>
      </c>
      <c r="I44" s="284">
        <v>0.95</v>
      </c>
      <c r="J44" s="287">
        <f t="shared" si="4"/>
        <v>1431196.9230769232</v>
      </c>
      <c r="K44" s="301">
        <v>5.48</v>
      </c>
      <c r="L44" s="289">
        <f t="shared" si="5"/>
        <v>515984.1538461539</v>
      </c>
      <c r="M44" s="301">
        <v>5</v>
      </c>
      <c r="N44" s="289">
        <f t="shared" si="6"/>
        <v>470788.46153846156</v>
      </c>
      <c r="O44" s="302">
        <v>127.5</v>
      </c>
      <c r="P44" s="272" t="s">
        <v>1590</v>
      </c>
      <c r="Q44" s="288">
        <v>1.05</v>
      </c>
      <c r="R44" s="289">
        <f t="shared" si="7"/>
        <v>2567966.1525</v>
      </c>
      <c r="S44" s="284" t="s">
        <v>1614</v>
      </c>
      <c r="T44" s="296">
        <f>Nii4+Nii7</f>
        <v>377943.46153846156</v>
      </c>
      <c r="U44" s="250">
        <f>ROUND((J44+L44+N44+R44+T44),0)-2</f>
        <v>5363877</v>
      </c>
      <c r="V44" s="250">
        <v>5417871</v>
      </c>
      <c r="W44" s="250">
        <v>5363877</v>
      </c>
      <c r="X44" s="250">
        <v>5284691</v>
      </c>
      <c r="Y44" s="293">
        <v>2448100</v>
      </c>
      <c r="Z44" s="294">
        <v>-2</v>
      </c>
      <c r="AA44" s="251"/>
      <c r="AB44" s="251"/>
    </row>
    <row r="45" spans="1:28" s="295" customFormat="1" ht="15.75">
      <c r="A45" s="284">
        <v>34</v>
      </c>
      <c r="B45" s="284" t="s">
        <v>601</v>
      </c>
      <c r="C45" s="284" t="s">
        <v>455</v>
      </c>
      <c r="D45" s="284" t="s">
        <v>3194</v>
      </c>
      <c r="E45" s="285" t="s">
        <v>2454</v>
      </c>
      <c r="F45" s="286" t="s">
        <v>1616</v>
      </c>
      <c r="G45" s="284">
        <v>260</v>
      </c>
      <c r="H45" s="284">
        <v>16</v>
      </c>
      <c r="I45" s="284">
        <v>0.95</v>
      </c>
      <c r="J45" s="287">
        <f t="shared" si="4"/>
        <v>1903332.3076923075</v>
      </c>
      <c r="K45" s="301">
        <v>5.48</v>
      </c>
      <c r="L45" s="289">
        <f t="shared" si="5"/>
        <v>686201.3846153846</v>
      </c>
      <c r="M45" s="301">
        <v>5</v>
      </c>
      <c r="N45" s="289">
        <f t="shared" si="6"/>
        <v>626096.1538461538</v>
      </c>
      <c r="O45" s="302">
        <v>163.7</v>
      </c>
      <c r="P45" s="272" t="s">
        <v>1590</v>
      </c>
      <c r="Q45" s="288">
        <v>1.05</v>
      </c>
      <c r="R45" s="289">
        <f t="shared" si="7"/>
        <v>3297067.1307</v>
      </c>
      <c r="S45" s="284" t="s">
        <v>1614</v>
      </c>
      <c r="T45" s="296">
        <f>Nii4+Nii7</f>
        <v>377943.46153846156</v>
      </c>
      <c r="U45" s="250">
        <f>ROUND((J45+L45+N45+R45+T45),0)-2</f>
        <v>6890638</v>
      </c>
      <c r="V45" s="250">
        <v>6944632</v>
      </c>
      <c r="W45" s="250">
        <v>6890638</v>
      </c>
      <c r="X45" s="250">
        <v>6811452</v>
      </c>
      <c r="Y45" s="293">
        <v>3255700</v>
      </c>
      <c r="Z45" s="294"/>
      <c r="AA45" s="251"/>
      <c r="AB45" s="251"/>
    </row>
    <row r="46" spans="1:28" s="295" customFormat="1" ht="15.75">
      <c r="A46" s="297"/>
      <c r="B46" s="284"/>
      <c r="C46" s="298"/>
      <c r="D46" s="284"/>
      <c r="E46" s="272"/>
      <c r="F46" s="151" t="s">
        <v>456</v>
      </c>
      <c r="G46" s="284"/>
      <c r="H46" s="284"/>
      <c r="I46" s="284"/>
      <c r="J46" s="299"/>
      <c r="K46" s="288"/>
      <c r="L46" s="289"/>
      <c r="M46" s="288"/>
      <c r="N46" s="300"/>
      <c r="O46" s="290"/>
      <c r="P46" s="291"/>
      <c r="Q46" s="288"/>
      <c r="R46" s="300"/>
      <c r="S46" s="292"/>
      <c r="T46" s="296"/>
      <c r="U46" s="250"/>
      <c r="V46" s="250"/>
      <c r="W46" s="250"/>
      <c r="X46" s="250"/>
      <c r="Y46" s="293"/>
      <c r="Z46" s="385"/>
      <c r="AA46" s="251"/>
      <c r="AB46" s="251"/>
    </row>
    <row r="47" spans="1:28" s="295" customFormat="1" ht="15.75">
      <c r="A47" s="284">
        <v>35</v>
      </c>
      <c r="B47" s="284">
        <v>0</v>
      </c>
      <c r="C47" s="284" t="s">
        <v>457</v>
      </c>
      <c r="D47" s="284" t="s">
        <v>3195</v>
      </c>
      <c r="E47" s="285" t="s">
        <v>2455</v>
      </c>
      <c r="F47" s="286" t="s">
        <v>458</v>
      </c>
      <c r="G47" s="284">
        <v>260</v>
      </c>
      <c r="H47" s="284">
        <v>16</v>
      </c>
      <c r="I47" s="284">
        <v>0.95</v>
      </c>
      <c r="J47" s="287">
        <f aca="true" t="shared" si="8" ref="J47:J56">Y47*H47%*I47/G47*1000</f>
        <v>352172.3076923077</v>
      </c>
      <c r="K47" s="301">
        <v>4.84</v>
      </c>
      <c r="L47" s="289">
        <f aca="true" t="shared" si="9" ref="L47:L56">(Y47*K47%)/G47*1000</f>
        <v>112139.07692307692</v>
      </c>
      <c r="M47" s="301">
        <v>5</v>
      </c>
      <c r="N47" s="289">
        <f aca="true" t="shared" si="10" ref="N47:N56">(Y47*M47%)/G47*1000</f>
        <v>115846.15384615384</v>
      </c>
      <c r="O47" s="302">
        <v>29.1</v>
      </c>
      <c r="P47" s="272" t="s">
        <v>1590</v>
      </c>
      <c r="Q47" s="288">
        <v>1.05</v>
      </c>
      <c r="R47" s="289">
        <f aca="true" t="shared" si="11" ref="R47:R55">O47*diezel*Q47</f>
        <v>586100.5101000001</v>
      </c>
      <c r="S47" s="284" t="s">
        <v>1591</v>
      </c>
      <c r="T47" s="296">
        <f>Nii4</f>
        <v>145974.23076923078</v>
      </c>
      <c r="U47" s="250">
        <f>ROUND((J47+L47+N47+R47+T47),0)</f>
        <v>1312232</v>
      </c>
      <c r="V47" s="250">
        <v>1333086</v>
      </c>
      <c r="W47" s="250">
        <v>1312232</v>
      </c>
      <c r="X47" s="250">
        <v>1281647</v>
      </c>
      <c r="Y47" s="293">
        <v>602400</v>
      </c>
      <c r="Z47" s="294"/>
      <c r="AA47" s="251"/>
      <c r="AB47" s="251"/>
    </row>
    <row r="48" spans="1:28" s="295" customFormat="1" ht="15.75">
      <c r="A48" s="284">
        <v>36</v>
      </c>
      <c r="B48" s="284">
        <v>0</v>
      </c>
      <c r="C48" s="284" t="s">
        <v>459</v>
      </c>
      <c r="D48" s="284" t="s">
        <v>3196</v>
      </c>
      <c r="E48" s="285" t="s">
        <v>2456</v>
      </c>
      <c r="F48" s="286" t="s">
        <v>1604</v>
      </c>
      <c r="G48" s="284">
        <v>260</v>
      </c>
      <c r="H48" s="284">
        <v>16</v>
      </c>
      <c r="I48" s="284">
        <v>0.95</v>
      </c>
      <c r="J48" s="287">
        <f t="shared" si="8"/>
        <v>464769.23076923075</v>
      </c>
      <c r="K48" s="288">
        <v>4.84</v>
      </c>
      <c r="L48" s="289">
        <f t="shared" si="9"/>
        <v>147992.3076923077</v>
      </c>
      <c r="M48" s="288">
        <v>5</v>
      </c>
      <c r="N48" s="289">
        <f t="shared" si="10"/>
        <v>152884.61538461538</v>
      </c>
      <c r="O48" s="290">
        <v>38.76</v>
      </c>
      <c r="P48" s="291" t="s">
        <v>1590</v>
      </c>
      <c r="Q48" s="288">
        <v>1.05</v>
      </c>
      <c r="R48" s="289">
        <f t="shared" si="11"/>
        <v>780661.71036</v>
      </c>
      <c r="S48" s="292" t="s">
        <v>1591</v>
      </c>
      <c r="T48" s="289">
        <f>'Nhan cong'!$M$42</f>
        <v>145974.23076923078</v>
      </c>
      <c r="U48" s="250">
        <f>ROUND((J48+L48+N48+R48+T48),0)</f>
        <v>1692282</v>
      </c>
      <c r="V48" s="250">
        <v>1713136</v>
      </c>
      <c r="W48" s="250">
        <v>1692282</v>
      </c>
      <c r="X48" s="250">
        <v>1661697</v>
      </c>
      <c r="Y48" s="293">
        <v>795000</v>
      </c>
      <c r="Z48" s="294"/>
      <c r="AA48" s="251"/>
      <c r="AB48" s="251"/>
    </row>
    <row r="49" spans="1:28" s="295" customFormat="1" ht="15.75">
      <c r="A49" s="284">
        <v>37</v>
      </c>
      <c r="B49" s="284" t="s">
        <v>655</v>
      </c>
      <c r="C49" s="284" t="s">
        <v>460</v>
      </c>
      <c r="D49" s="284" t="s">
        <v>3197</v>
      </c>
      <c r="E49" s="285" t="s">
        <v>2457</v>
      </c>
      <c r="F49" s="286" t="s">
        <v>1609</v>
      </c>
      <c r="G49" s="284">
        <v>260</v>
      </c>
      <c r="H49" s="284">
        <v>16</v>
      </c>
      <c r="I49" s="284">
        <v>0.95</v>
      </c>
      <c r="J49" s="287">
        <f t="shared" si="8"/>
        <v>541353.8461538461</v>
      </c>
      <c r="K49" s="301">
        <v>4.84</v>
      </c>
      <c r="L49" s="289">
        <f t="shared" si="9"/>
        <v>172378.46153846156</v>
      </c>
      <c r="M49" s="301">
        <v>5</v>
      </c>
      <c r="N49" s="289">
        <f t="shared" si="10"/>
        <v>178076.92307692306</v>
      </c>
      <c r="O49" s="302">
        <v>46.5</v>
      </c>
      <c r="P49" s="272" t="s">
        <v>1590</v>
      </c>
      <c r="Q49" s="288">
        <v>1.05</v>
      </c>
      <c r="R49" s="289">
        <f t="shared" si="11"/>
        <v>936552.3615</v>
      </c>
      <c r="S49" s="284" t="s">
        <v>1600</v>
      </c>
      <c r="T49" s="296">
        <f>Nii3+Nii5</f>
        <v>296019.23076923075</v>
      </c>
      <c r="U49" s="250">
        <f aca="true" t="shared" si="12" ref="U49:U55">ROUND((J49+L49+N49+R49+T49),0)-1</f>
        <v>2124380</v>
      </c>
      <c r="V49" s="250">
        <v>2166670</v>
      </c>
      <c r="W49" s="250">
        <v>2124380</v>
      </c>
      <c r="X49" s="250">
        <v>2062358</v>
      </c>
      <c r="Y49" s="293">
        <v>926000</v>
      </c>
      <c r="Z49" s="294">
        <v>-1</v>
      </c>
      <c r="AA49" s="251">
        <v>2062358</v>
      </c>
      <c r="AB49" s="251"/>
    </row>
    <row r="50" spans="1:28" s="295" customFormat="1" ht="15.75">
      <c r="A50" s="284">
        <v>38</v>
      </c>
      <c r="B50" s="284" t="s">
        <v>656</v>
      </c>
      <c r="C50" s="284" t="s">
        <v>461</v>
      </c>
      <c r="D50" s="284" t="s">
        <v>3198</v>
      </c>
      <c r="E50" s="285" t="s">
        <v>2458</v>
      </c>
      <c r="F50" s="286" t="s">
        <v>462</v>
      </c>
      <c r="G50" s="284">
        <v>260</v>
      </c>
      <c r="H50" s="284">
        <v>16</v>
      </c>
      <c r="I50" s="284">
        <v>0.95</v>
      </c>
      <c r="J50" s="287">
        <f t="shared" si="8"/>
        <v>694756.923076923</v>
      </c>
      <c r="K50" s="288">
        <v>4.84</v>
      </c>
      <c r="L50" s="289">
        <f t="shared" si="9"/>
        <v>221225.23076923075</v>
      </c>
      <c r="M50" s="288">
        <v>5</v>
      </c>
      <c r="N50" s="289">
        <f t="shared" si="10"/>
        <v>228538.46153846156</v>
      </c>
      <c r="O50" s="290">
        <v>75.24</v>
      </c>
      <c r="P50" s="291" t="s">
        <v>1590</v>
      </c>
      <c r="Q50" s="288">
        <v>1.05</v>
      </c>
      <c r="R50" s="289">
        <f t="shared" si="11"/>
        <v>1515402.1436400001</v>
      </c>
      <c r="S50" s="292" t="s">
        <v>1600</v>
      </c>
      <c r="T50" s="296">
        <f>'Nhan cong'!M$38+'Nhan cong'!M$46</f>
        <v>296019.23076923075</v>
      </c>
      <c r="U50" s="250">
        <f t="shared" si="12"/>
        <v>2955941</v>
      </c>
      <c r="V50" s="250">
        <v>2998231</v>
      </c>
      <c r="W50" s="250">
        <v>2955941</v>
      </c>
      <c r="X50" s="250">
        <v>2893919</v>
      </c>
      <c r="Y50" s="293">
        <v>1188400</v>
      </c>
      <c r="Z50" s="294">
        <v>-1</v>
      </c>
      <c r="AA50" s="251"/>
      <c r="AB50" s="251"/>
    </row>
    <row r="51" spans="1:28" s="295" customFormat="1" ht="15.75">
      <c r="A51" s="284">
        <v>39</v>
      </c>
      <c r="B51" s="284">
        <v>0</v>
      </c>
      <c r="C51" s="284" t="s">
        <v>463</v>
      </c>
      <c r="D51" s="284" t="s">
        <v>3199</v>
      </c>
      <c r="E51" s="285" t="s">
        <v>2459</v>
      </c>
      <c r="F51" s="286" t="s">
        <v>1613</v>
      </c>
      <c r="G51" s="284">
        <v>260</v>
      </c>
      <c r="H51" s="284">
        <v>14</v>
      </c>
      <c r="I51" s="284">
        <v>0.95</v>
      </c>
      <c r="J51" s="287">
        <f t="shared" si="8"/>
        <v>668325.0000000001</v>
      </c>
      <c r="K51" s="288">
        <v>4.36</v>
      </c>
      <c r="L51" s="289">
        <f t="shared" si="9"/>
        <v>219090</v>
      </c>
      <c r="M51" s="288">
        <v>5</v>
      </c>
      <c r="N51" s="289">
        <f t="shared" si="10"/>
        <v>251250</v>
      </c>
      <c r="O51" s="290">
        <v>86.64</v>
      </c>
      <c r="P51" s="291" t="s">
        <v>1590</v>
      </c>
      <c r="Q51" s="288">
        <v>1.05</v>
      </c>
      <c r="R51" s="289">
        <f t="shared" si="11"/>
        <v>1745008.52904</v>
      </c>
      <c r="S51" s="292" t="s">
        <v>1600</v>
      </c>
      <c r="T51" s="296">
        <f>'Nhan cong'!M$38+'Nhan cong'!M$46</f>
        <v>296019.23076923075</v>
      </c>
      <c r="U51" s="250">
        <f t="shared" si="12"/>
        <v>3179692</v>
      </c>
      <c r="V51" s="250">
        <v>3221982</v>
      </c>
      <c r="W51" s="250">
        <v>3179692</v>
      </c>
      <c r="X51" s="250">
        <v>3117670</v>
      </c>
      <c r="Y51" s="293">
        <v>1306500</v>
      </c>
      <c r="Z51" s="294">
        <v>-1</v>
      </c>
      <c r="AA51" s="251"/>
      <c r="AB51" s="251"/>
    </row>
    <row r="52" spans="1:28" s="295" customFormat="1" ht="15.75">
      <c r="A52" s="297">
        <v>40</v>
      </c>
      <c r="B52" s="284" t="s">
        <v>657</v>
      </c>
      <c r="C52" s="298" t="s">
        <v>464</v>
      </c>
      <c r="D52" s="284" t="s">
        <v>3200</v>
      </c>
      <c r="E52" s="285" t="s">
        <v>3156</v>
      </c>
      <c r="F52" s="286" t="s">
        <v>1616</v>
      </c>
      <c r="G52" s="284">
        <v>260</v>
      </c>
      <c r="H52" s="284">
        <v>14</v>
      </c>
      <c r="I52" s="284">
        <v>0.95</v>
      </c>
      <c r="J52" s="287">
        <f t="shared" si="8"/>
        <v>789355</v>
      </c>
      <c r="K52" s="301">
        <v>4.36</v>
      </c>
      <c r="L52" s="289">
        <f t="shared" si="9"/>
        <v>258766.00000000003</v>
      </c>
      <c r="M52" s="301">
        <v>5</v>
      </c>
      <c r="N52" s="289">
        <f t="shared" si="10"/>
        <v>296750</v>
      </c>
      <c r="O52" s="302">
        <v>94.65</v>
      </c>
      <c r="P52" s="272" t="s">
        <v>1590</v>
      </c>
      <c r="Q52" s="288">
        <v>1.05</v>
      </c>
      <c r="R52" s="289">
        <f t="shared" si="11"/>
        <v>1906337.22615</v>
      </c>
      <c r="S52" s="284" t="s">
        <v>1605</v>
      </c>
      <c r="T52" s="296">
        <f>Nii4+Nii6</f>
        <v>344359.6153846154</v>
      </c>
      <c r="U52" s="250">
        <f t="shared" si="12"/>
        <v>3595567</v>
      </c>
      <c r="V52" s="250">
        <v>3644762</v>
      </c>
      <c r="W52" s="250">
        <v>3595567</v>
      </c>
      <c r="X52" s="250">
        <v>3523416</v>
      </c>
      <c r="Y52" s="293">
        <v>1543100</v>
      </c>
      <c r="Z52" s="294">
        <v>-1</v>
      </c>
      <c r="AA52" s="303">
        <v>393553.8461538461</v>
      </c>
      <c r="AB52" s="251"/>
    </row>
    <row r="53" spans="1:28" s="295" customFormat="1" ht="15.75">
      <c r="A53" s="284">
        <v>41</v>
      </c>
      <c r="B53" s="284">
        <v>0</v>
      </c>
      <c r="C53" s="284" t="s">
        <v>465</v>
      </c>
      <c r="D53" s="284" t="s">
        <v>3201</v>
      </c>
      <c r="E53" s="285" t="s">
        <v>2460</v>
      </c>
      <c r="F53" s="286" t="s">
        <v>466</v>
      </c>
      <c r="G53" s="284">
        <v>260</v>
      </c>
      <c r="H53" s="284">
        <v>14</v>
      </c>
      <c r="I53" s="284">
        <v>0.95</v>
      </c>
      <c r="J53" s="287">
        <f t="shared" si="8"/>
        <v>986553.0769230769</v>
      </c>
      <c r="K53" s="288">
        <v>4.36</v>
      </c>
      <c r="L53" s="289">
        <f t="shared" si="9"/>
        <v>323411.3846153846</v>
      </c>
      <c r="M53" s="288">
        <v>5</v>
      </c>
      <c r="N53" s="289">
        <f t="shared" si="10"/>
        <v>370884.6153846154</v>
      </c>
      <c r="O53" s="290">
        <v>100.8</v>
      </c>
      <c r="P53" s="291" t="s">
        <v>1590</v>
      </c>
      <c r="Q53" s="288">
        <v>1.05</v>
      </c>
      <c r="R53" s="289">
        <f t="shared" si="11"/>
        <v>2030203.8288</v>
      </c>
      <c r="S53" s="292" t="s">
        <v>1605</v>
      </c>
      <c r="T53" s="296">
        <f>'Nhan cong'!M$42+'Nhan cong'!M$49</f>
        <v>344359.6153846154</v>
      </c>
      <c r="U53" s="250">
        <f t="shared" si="12"/>
        <v>4055412</v>
      </c>
      <c r="V53" s="250">
        <v>4104607</v>
      </c>
      <c r="W53" s="250">
        <v>4055412</v>
      </c>
      <c r="X53" s="250">
        <v>3983261</v>
      </c>
      <c r="Y53" s="293">
        <v>1928600</v>
      </c>
      <c r="Z53" s="294">
        <v>-1</v>
      </c>
      <c r="AA53" s="251"/>
      <c r="AB53" s="251"/>
    </row>
    <row r="54" spans="1:28" s="295" customFormat="1" ht="15.75">
      <c r="A54" s="284">
        <v>42</v>
      </c>
      <c r="B54" s="284">
        <v>0</v>
      </c>
      <c r="C54" s="284" t="s">
        <v>467</v>
      </c>
      <c r="D54" s="284" t="s">
        <v>3202</v>
      </c>
      <c r="E54" s="285" t="s">
        <v>2461</v>
      </c>
      <c r="F54" s="286" t="s">
        <v>468</v>
      </c>
      <c r="G54" s="284">
        <v>260</v>
      </c>
      <c r="H54" s="284">
        <v>14</v>
      </c>
      <c r="I54" s="284">
        <v>0.95</v>
      </c>
      <c r="J54" s="287">
        <f t="shared" si="8"/>
        <v>1464432.3076923077</v>
      </c>
      <c r="K54" s="288">
        <v>3.8</v>
      </c>
      <c r="L54" s="289">
        <f t="shared" si="9"/>
        <v>418409.23076923075</v>
      </c>
      <c r="M54" s="288">
        <v>5</v>
      </c>
      <c r="N54" s="289">
        <f t="shared" si="10"/>
        <v>550538.4615384615</v>
      </c>
      <c r="O54" s="290">
        <v>134.4</v>
      </c>
      <c r="P54" s="291" t="s">
        <v>1590</v>
      </c>
      <c r="Q54" s="288">
        <v>1.05</v>
      </c>
      <c r="R54" s="289">
        <f t="shared" si="11"/>
        <v>2706938.4384000003</v>
      </c>
      <c r="S54" s="292" t="s">
        <v>1605</v>
      </c>
      <c r="T54" s="296">
        <f>'Nhan cong'!M$42+'Nhan cong'!M$49</f>
        <v>344359.6153846154</v>
      </c>
      <c r="U54" s="250">
        <f t="shared" si="12"/>
        <v>5484677</v>
      </c>
      <c r="V54" s="250">
        <v>5533872</v>
      </c>
      <c r="W54" s="250">
        <v>5484677</v>
      </c>
      <c r="X54" s="250">
        <v>5412525</v>
      </c>
      <c r="Y54" s="293">
        <v>2862800</v>
      </c>
      <c r="Z54" s="294">
        <v>-1</v>
      </c>
      <c r="AA54" s="251"/>
      <c r="AB54" s="251"/>
    </row>
    <row r="55" spans="1:28" s="295" customFormat="1" ht="15.75">
      <c r="A55" s="284">
        <v>43</v>
      </c>
      <c r="B55" s="284">
        <v>0</v>
      </c>
      <c r="C55" s="284" t="s">
        <v>469</v>
      </c>
      <c r="D55" s="284" t="s">
        <v>3203</v>
      </c>
      <c r="E55" s="384" t="s">
        <v>2462</v>
      </c>
      <c r="F55" s="286" t="s">
        <v>470</v>
      </c>
      <c r="G55" s="284">
        <v>260</v>
      </c>
      <c r="H55" s="284">
        <v>14</v>
      </c>
      <c r="I55" s="284">
        <v>0.95</v>
      </c>
      <c r="J55" s="287">
        <f t="shared" si="8"/>
        <v>1952542.3076923077</v>
      </c>
      <c r="K55" s="288">
        <v>3.8</v>
      </c>
      <c r="L55" s="289">
        <f t="shared" si="9"/>
        <v>557869.2307692308</v>
      </c>
      <c r="M55" s="288">
        <v>5</v>
      </c>
      <c r="N55" s="289">
        <f t="shared" si="10"/>
        <v>734038.4615384615</v>
      </c>
      <c r="O55" s="290">
        <v>159.6</v>
      </c>
      <c r="P55" s="291" t="s">
        <v>1590</v>
      </c>
      <c r="Q55" s="288">
        <v>1.05</v>
      </c>
      <c r="R55" s="289">
        <f t="shared" si="11"/>
        <v>3214489.3956000004</v>
      </c>
      <c r="S55" s="292" t="s">
        <v>1605</v>
      </c>
      <c r="T55" s="296">
        <f>'Nhan cong'!M$42+'Nhan cong'!M$49</f>
        <v>344359.6153846154</v>
      </c>
      <c r="U55" s="250">
        <f t="shared" si="12"/>
        <v>6803298</v>
      </c>
      <c r="V55" s="250">
        <v>6852493</v>
      </c>
      <c r="W55" s="250">
        <v>6803298</v>
      </c>
      <c r="X55" s="250">
        <v>6731146</v>
      </c>
      <c r="Y55" s="293">
        <v>3817000</v>
      </c>
      <c r="Z55" s="294"/>
      <c r="AA55" s="251"/>
      <c r="AB55" s="251"/>
    </row>
    <row r="56" spans="1:28" s="295" customFormat="1" ht="78.75">
      <c r="A56" s="284">
        <v>44</v>
      </c>
      <c r="B56" s="284">
        <v>0</v>
      </c>
      <c r="C56" s="284" t="s">
        <v>471</v>
      </c>
      <c r="D56" s="284" t="s">
        <v>3204</v>
      </c>
      <c r="E56" s="285" t="s">
        <v>2463</v>
      </c>
      <c r="F56" s="304" t="s">
        <v>472</v>
      </c>
      <c r="G56" s="284">
        <v>260</v>
      </c>
      <c r="H56" s="284">
        <v>17</v>
      </c>
      <c r="I56" s="284">
        <v>0.95</v>
      </c>
      <c r="J56" s="287">
        <f t="shared" si="8"/>
        <v>306477.30769230763</v>
      </c>
      <c r="K56" s="301">
        <v>5.76</v>
      </c>
      <c r="L56" s="289">
        <f t="shared" si="9"/>
        <v>109307.07692307692</v>
      </c>
      <c r="M56" s="301">
        <v>5</v>
      </c>
      <c r="N56" s="289">
        <f t="shared" si="10"/>
        <v>94884.61538461539</v>
      </c>
      <c r="O56" s="302"/>
      <c r="P56" s="272"/>
      <c r="Q56" s="288"/>
      <c r="R56" s="300">
        <f>+(O56*$AA$2)*(1+$AA$3)</f>
        <v>0</v>
      </c>
      <c r="S56" s="284"/>
      <c r="T56" s="296"/>
      <c r="U56" s="250">
        <f>ROUND((J56+L56+N56+R56+T56),0)</f>
        <v>510669</v>
      </c>
      <c r="V56" s="250">
        <v>510669</v>
      </c>
      <c r="W56" s="250">
        <v>510669</v>
      </c>
      <c r="X56" s="250">
        <v>510669</v>
      </c>
      <c r="Y56" s="293">
        <v>493400</v>
      </c>
      <c r="Z56" s="294"/>
      <c r="AA56" s="251"/>
      <c r="AB56" s="251"/>
    </row>
    <row r="57" spans="1:28" s="295" customFormat="1" ht="15.75">
      <c r="A57" s="297"/>
      <c r="B57" s="284"/>
      <c r="C57" s="298"/>
      <c r="D57" s="284"/>
      <c r="E57" s="272"/>
      <c r="F57" s="151" t="s">
        <v>473</v>
      </c>
      <c r="G57" s="285"/>
      <c r="H57" s="285"/>
      <c r="I57" s="285"/>
      <c r="J57" s="285"/>
      <c r="K57" s="285"/>
      <c r="L57" s="289"/>
      <c r="M57" s="285"/>
      <c r="N57" s="285"/>
      <c r="O57" s="305"/>
      <c r="P57" s="272"/>
      <c r="Q57" s="285"/>
      <c r="R57" s="285"/>
      <c r="S57" s="285"/>
      <c r="T57" s="293"/>
      <c r="U57" s="306"/>
      <c r="V57" s="250"/>
      <c r="W57" s="250"/>
      <c r="X57" s="250"/>
      <c r="Y57" s="293"/>
      <c r="Z57" s="385"/>
      <c r="AA57" s="251"/>
      <c r="AB57" s="251"/>
    </row>
    <row r="58" spans="1:28" s="295" customFormat="1" ht="15.75">
      <c r="A58" s="284">
        <v>45</v>
      </c>
      <c r="B58" s="284" t="s">
        <v>658</v>
      </c>
      <c r="C58" s="284" t="s">
        <v>474</v>
      </c>
      <c r="D58" s="284" t="s">
        <v>3205</v>
      </c>
      <c r="E58" s="285" t="s">
        <v>2464</v>
      </c>
      <c r="F58" s="286" t="s">
        <v>475</v>
      </c>
      <c r="G58" s="284">
        <v>260</v>
      </c>
      <c r="H58" s="284">
        <v>17</v>
      </c>
      <c r="I58" s="284">
        <v>0.95</v>
      </c>
      <c r="J58" s="287">
        <f>Y58*H58%*I58/G58*1000</f>
        <v>1693141.153846154</v>
      </c>
      <c r="K58" s="288">
        <v>4.84</v>
      </c>
      <c r="L58" s="289">
        <f>(Y58*K58%)/G58*1000</f>
        <v>507418.1538461539</v>
      </c>
      <c r="M58" s="288">
        <v>6</v>
      </c>
      <c r="N58" s="289">
        <f>(Y58*M58%)/G58*1000</f>
        <v>629030.7692307692</v>
      </c>
      <c r="O58" s="290">
        <v>51.84</v>
      </c>
      <c r="P58" s="291" t="s">
        <v>1590</v>
      </c>
      <c r="Q58" s="288">
        <v>1.05</v>
      </c>
      <c r="R58" s="289">
        <f>O58*diezel*Q58</f>
        <v>1044104.8262400002</v>
      </c>
      <c r="S58" s="292" t="s">
        <v>1600</v>
      </c>
      <c r="T58" s="296">
        <f>Nii3+Nii5</f>
        <v>296019.23076923075</v>
      </c>
      <c r="U58" s="250">
        <f>ROUND((J58+L58+N58+R58+T58),0)-1</f>
        <v>4169713</v>
      </c>
      <c r="V58" s="250">
        <v>4212003</v>
      </c>
      <c r="W58" s="250">
        <v>4169713</v>
      </c>
      <c r="X58" s="250">
        <v>4107691</v>
      </c>
      <c r="Y58" s="293">
        <v>2725800</v>
      </c>
      <c r="Z58" s="294"/>
      <c r="AA58" s="251"/>
      <c r="AB58" s="251"/>
    </row>
    <row r="59" spans="1:28" s="295" customFormat="1" ht="15.75">
      <c r="A59" s="284">
        <v>46</v>
      </c>
      <c r="B59" s="284" t="s">
        <v>659</v>
      </c>
      <c r="C59" s="284" t="s">
        <v>476</v>
      </c>
      <c r="D59" s="284" t="s">
        <v>3206</v>
      </c>
      <c r="E59" s="285" t="s">
        <v>2465</v>
      </c>
      <c r="F59" s="286" t="s">
        <v>462</v>
      </c>
      <c r="G59" s="284">
        <v>260</v>
      </c>
      <c r="H59" s="284">
        <v>17</v>
      </c>
      <c r="I59" s="284">
        <v>0.95</v>
      </c>
      <c r="J59" s="287">
        <f>Y59*H59%*I59/G59*1000</f>
        <v>1947130.9615384615</v>
      </c>
      <c r="K59" s="288">
        <v>4.84</v>
      </c>
      <c r="L59" s="289">
        <f>(Y59*K59%)/G59*1000</f>
        <v>583536.4615384615</v>
      </c>
      <c r="M59" s="288">
        <v>6</v>
      </c>
      <c r="N59" s="289">
        <f>(Y59*M59%)/G59*1000</f>
        <v>723392.3076923076</v>
      </c>
      <c r="O59" s="290">
        <v>65.25</v>
      </c>
      <c r="P59" s="291" t="s">
        <v>1590</v>
      </c>
      <c r="Q59" s="288">
        <v>1.05</v>
      </c>
      <c r="R59" s="289">
        <f>O59*diezel*Q59</f>
        <v>1314194.44275</v>
      </c>
      <c r="S59" s="292" t="s">
        <v>1600</v>
      </c>
      <c r="T59" s="296">
        <f>'Nhan cong'!M$38+'Nhan cong'!M$46</f>
        <v>296019.23076923075</v>
      </c>
      <c r="U59" s="250">
        <f>ROUND((J59+L59+N59+R59+T59),0)-1</f>
        <v>4864272</v>
      </c>
      <c r="V59" s="250">
        <v>4906562</v>
      </c>
      <c r="W59" s="250">
        <v>4864272</v>
      </c>
      <c r="X59" s="250">
        <v>4802249</v>
      </c>
      <c r="Y59" s="293">
        <v>3134700</v>
      </c>
      <c r="Z59" s="294">
        <v>-1</v>
      </c>
      <c r="AA59" s="251"/>
      <c r="AB59" s="251"/>
    </row>
    <row r="60" spans="1:28" s="295" customFormat="1" ht="15.75">
      <c r="A60" s="284">
        <v>47</v>
      </c>
      <c r="B60" s="284" t="s">
        <v>654</v>
      </c>
      <c r="C60" s="284" t="s">
        <v>477</v>
      </c>
      <c r="D60" s="284" t="s">
        <v>3207</v>
      </c>
      <c r="E60" s="285" t="s">
        <v>2466</v>
      </c>
      <c r="F60" s="286" t="s">
        <v>470</v>
      </c>
      <c r="G60" s="284">
        <v>260</v>
      </c>
      <c r="H60" s="284">
        <v>14</v>
      </c>
      <c r="I60" s="284">
        <v>0.95</v>
      </c>
      <c r="J60" s="287">
        <f>Y60*H60%*I60/G60*1000</f>
        <v>3729320</v>
      </c>
      <c r="K60" s="288">
        <v>3.4</v>
      </c>
      <c r="L60" s="289">
        <f>(Y60*K60%)/G60*1000</f>
        <v>953360</v>
      </c>
      <c r="M60" s="288">
        <v>6</v>
      </c>
      <c r="N60" s="289">
        <f>(Y60*M60%)/G60*1000</f>
        <v>1682400</v>
      </c>
      <c r="O60" s="290">
        <v>89.04</v>
      </c>
      <c r="P60" s="291" t="s">
        <v>1590</v>
      </c>
      <c r="Q60" s="288">
        <v>1.05</v>
      </c>
      <c r="R60" s="289">
        <f>O60*diezel*Q60</f>
        <v>1793346.7154400002</v>
      </c>
      <c r="S60" s="292" t="s">
        <v>1605</v>
      </c>
      <c r="T60" s="296">
        <f>'Nhan cong'!M$42+'Nhan cong'!M$49</f>
        <v>344359.6153846154</v>
      </c>
      <c r="U60" s="250">
        <f>ROUND((J60+L60+N60+R60+T60),0)</f>
        <v>8502786</v>
      </c>
      <c r="V60" s="250">
        <v>8551981</v>
      </c>
      <c r="W60" s="250">
        <v>8502786</v>
      </c>
      <c r="X60" s="250">
        <v>8430634</v>
      </c>
      <c r="Y60" s="293">
        <v>7290400</v>
      </c>
      <c r="Z60" s="294"/>
      <c r="AA60" s="251"/>
      <c r="AB60" s="251"/>
    </row>
    <row r="61" spans="1:28" s="295" customFormat="1" ht="15.75">
      <c r="A61" s="297"/>
      <c r="B61" s="284"/>
      <c r="C61" s="298"/>
      <c r="D61" s="284"/>
      <c r="E61" s="272"/>
      <c r="F61" s="151" t="s">
        <v>478</v>
      </c>
      <c r="G61" s="284"/>
      <c r="H61" s="284"/>
      <c r="I61" s="284"/>
      <c r="J61" s="299"/>
      <c r="K61" s="288"/>
      <c r="L61" s="289"/>
      <c r="M61" s="288"/>
      <c r="N61" s="300"/>
      <c r="O61" s="290"/>
      <c r="P61" s="291"/>
      <c r="Q61" s="288"/>
      <c r="R61" s="300"/>
      <c r="S61" s="292"/>
      <c r="T61" s="296"/>
      <c r="U61" s="250"/>
      <c r="V61" s="250"/>
      <c r="W61" s="250"/>
      <c r="X61" s="250"/>
      <c r="Y61" s="293"/>
      <c r="Z61" s="385"/>
      <c r="AA61" s="251"/>
      <c r="AB61" s="251"/>
    </row>
    <row r="62" spans="1:28" s="295" customFormat="1" ht="15.75">
      <c r="A62" s="284">
        <v>48</v>
      </c>
      <c r="B62" s="284">
        <v>0</v>
      </c>
      <c r="C62" s="284" t="s">
        <v>479</v>
      </c>
      <c r="D62" s="284" t="s">
        <v>3208</v>
      </c>
      <c r="E62" s="285" t="s">
        <v>2467</v>
      </c>
      <c r="F62" s="286" t="s">
        <v>480</v>
      </c>
      <c r="G62" s="284">
        <v>260</v>
      </c>
      <c r="H62" s="284">
        <v>14</v>
      </c>
      <c r="I62" s="284">
        <v>0.95</v>
      </c>
      <c r="J62" s="287">
        <f>Y62*H62%*I62/G62*1000</f>
        <v>248761.15384615384</v>
      </c>
      <c r="K62" s="288">
        <v>5.3</v>
      </c>
      <c r="L62" s="289">
        <f>(Y62*K62%)/G62*1000</f>
        <v>99130.38461538461</v>
      </c>
      <c r="M62" s="288">
        <v>6</v>
      </c>
      <c r="N62" s="289">
        <f>(Y62*M62%)/G62*1000</f>
        <v>112223.07692307692</v>
      </c>
      <c r="O62" s="290">
        <v>132</v>
      </c>
      <c r="P62" s="291" t="s">
        <v>433</v>
      </c>
      <c r="Q62" s="288">
        <v>1.07</v>
      </c>
      <c r="R62" s="289">
        <f>O62*dien*Q62</f>
        <v>160872.36000000002</v>
      </c>
      <c r="S62" s="292" t="s">
        <v>230</v>
      </c>
      <c r="T62" s="296">
        <f>'Nhan cong'!M$42+'Nhan cong'!M$46</f>
        <v>316373.07692307694</v>
      </c>
      <c r="U62" s="250">
        <f>ROUND((J62+L62+N62+R62+T62),0)</f>
        <v>937360</v>
      </c>
      <c r="V62" s="250">
        <v>982556</v>
      </c>
      <c r="W62" s="250">
        <v>937360</v>
      </c>
      <c r="X62" s="250">
        <v>871072</v>
      </c>
      <c r="Y62" s="293">
        <v>486300</v>
      </c>
      <c r="Z62" s="294"/>
      <c r="AA62" s="251"/>
      <c r="AB62" s="251"/>
    </row>
    <row r="63" spans="1:28" s="295" customFormat="1" ht="15.75">
      <c r="A63" s="284">
        <v>49</v>
      </c>
      <c r="B63" s="284">
        <v>0</v>
      </c>
      <c r="C63" s="284" t="s">
        <v>231</v>
      </c>
      <c r="D63" s="284" t="s">
        <v>3209</v>
      </c>
      <c r="E63" s="285" t="s">
        <v>2468</v>
      </c>
      <c r="F63" s="286" t="s">
        <v>232</v>
      </c>
      <c r="G63" s="284">
        <v>260</v>
      </c>
      <c r="H63" s="284">
        <v>14</v>
      </c>
      <c r="I63" s="284">
        <v>0.95</v>
      </c>
      <c r="J63" s="287">
        <f>Y63*H63%*I63/G63*1000</f>
        <v>435370.3846153846</v>
      </c>
      <c r="K63" s="288">
        <v>5.3</v>
      </c>
      <c r="L63" s="289">
        <f>(Y63*K63%)/G63*1000</f>
        <v>173493.46153846153</v>
      </c>
      <c r="M63" s="288">
        <v>6</v>
      </c>
      <c r="N63" s="289">
        <f>(Y63*M63%)/G63*1000</f>
        <v>196407.6923076923</v>
      </c>
      <c r="O63" s="290">
        <v>247.5</v>
      </c>
      <c r="P63" s="291" t="s">
        <v>433</v>
      </c>
      <c r="Q63" s="288">
        <v>1.07</v>
      </c>
      <c r="R63" s="289">
        <f>O63*dien*Q63</f>
        <v>301635.67500000005</v>
      </c>
      <c r="S63" s="292" t="s">
        <v>230</v>
      </c>
      <c r="T63" s="296">
        <f>'Nhan cong'!M$42+'Nhan cong'!M$46</f>
        <v>316373.07692307694</v>
      </c>
      <c r="U63" s="250">
        <f>ROUND((J63+L63+N63+R63+T63),0)+1</f>
        <v>1423281</v>
      </c>
      <c r="V63" s="250">
        <v>1468476</v>
      </c>
      <c r="W63" s="250">
        <v>1423281</v>
      </c>
      <c r="X63" s="250">
        <v>1356992</v>
      </c>
      <c r="Y63" s="293">
        <v>851100</v>
      </c>
      <c r="Z63" s="294">
        <v>2</v>
      </c>
      <c r="AA63" s="251"/>
      <c r="AB63" s="251"/>
    </row>
    <row r="64" spans="1:28" s="295" customFormat="1" ht="15.75">
      <c r="A64" s="284">
        <v>50</v>
      </c>
      <c r="B64" s="284" t="s">
        <v>3831</v>
      </c>
      <c r="C64" s="284" t="s">
        <v>233</v>
      </c>
      <c r="D64" s="284" t="s">
        <v>3210</v>
      </c>
      <c r="E64" s="285" t="s">
        <v>2469</v>
      </c>
      <c r="F64" s="286" t="s">
        <v>234</v>
      </c>
      <c r="G64" s="284">
        <v>260</v>
      </c>
      <c r="H64" s="284">
        <v>14</v>
      </c>
      <c r="I64" s="284">
        <v>0.95</v>
      </c>
      <c r="J64" s="287">
        <f>Y64*H64%*I64/G64*1000</f>
        <v>918365.0000000001</v>
      </c>
      <c r="K64" s="288">
        <v>5.1</v>
      </c>
      <c r="L64" s="289">
        <f>(Y64*K64%)/G64*1000</f>
        <v>352155</v>
      </c>
      <c r="M64" s="288">
        <v>6</v>
      </c>
      <c r="N64" s="289">
        <f>(Y64*M64%)/G64*1000</f>
        <v>414300</v>
      </c>
      <c r="O64" s="290">
        <v>673.2</v>
      </c>
      <c r="P64" s="291" t="s">
        <v>433</v>
      </c>
      <c r="Q64" s="288">
        <v>1.07</v>
      </c>
      <c r="R64" s="289">
        <f>O64*dien*Q64</f>
        <v>820449.0360000001</v>
      </c>
      <c r="S64" s="292" t="s">
        <v>1605</v>
      </c>
      <c r="T64" s="296">
        <f>'Nhan cong'!M$42+'Nhan cong'!M$49</f>
        <v>344359.6153846154</v>
      </c>
      <c r="U64" s="250">
        <f>ROUND((J64+L64+N64+R64+T64),0)+1</f>
        <v>2849630</v>
      </c>
      <c r="V64" s="250">
        <v>2898823</v>
      </c>
      <c r="W64" s="250">
        <v>2849630</v>
      </c>
      <c r="X64" s="250">
        <v>2777477</v>
      </c>
      <c r="Y64" s="293">
        <v>1795300</v>
      </c>
      <c r="Z64" s="294">
        <v>1</v>
      </c>
      <c r="AA64" s="251"/>
      <c r="AB64" s="251"/>
    </row>
    <row r="65" spans="1:28" s="295" customFormat="1" ht="15.75">
      <c r="A65" s="297"/>
      <c r="B65" s="284"/>
      <c r="C65" s="298"/>
      <c r="D65" s="284"/>
      <c r="E65" s="272"/>
      <c r="F65" s="151" t="s">
        <v>235</v>
      </c>
      <c r="G65" s="284"/>
      <c r="H65" s="284"/>
      <c r="I65" s="284"/>
      <c r="J65" s="299"/>
      <c r="K65" s="288"/>
      <c r="L65" s="289"/>
      <c r="M65" s="288"/>
      <c r="N65" s="300"/>
      <c r="O65" s="290"/>
      <c r="P65" s="291"/>
      <c r="Q65" s="288"/>
      <c r="R65" s="300"/>
      <c r="S65" s="292"/>
      <c r="T65" s="296"/>
      <c r="U65" s="250"/>
      <c r="V65" s="250"/>
      <c r="W65" s="250"/>
      <c r="X65" s="250"/>
      <c r="Y65" s="293"/>
      <c r="Z65" s="385"/>
      <c r="AA65" s="251"/>
      <c r="AB65" s="251"/>
    </row>
    <row r="66" spans="1:28" s="295" customFormat="1" ht="15.75">
      <c r="A66" s="284">
        <v>51</v>
      </c>
      <c r="B66" s="284">
        <v>0</v>
      </c>
      <c r="C66" s="284" t="s">
        <v>236</v>
      </c>
      <c r="D66" s="284" t="s">
        <v>3211</v>
      </c>
      <c r="E66" s="285" t="s">
        <v>2470</v>
      </c>
      <c r="F66" s="286" t="s">
        <v>237</v>
      </c>
      <c r="G66" s="284">
        <v>230</v>
      </c>
      <c r="H66" s="284">
        <v>18</v>
      </c>
      <c r="I66" s="284">
        <v>0.95</v>
      </c>
      <c r="J66" s="287">
        <f aca="true" t="shared" si="13" ref="J66:J77">Y66*H66%*I66/G66*1000</f>
        <v>242968.6956521739</v>
      </c>
      <c r="K66" s="288">
        <v>6.04</v>
      </c>
      <c r="L66" s="289">
        <f aca="true" t="shared" si="14" ref="L66:L77">(Y66*K66%)/G66*1000</f>
        <v>85820.52173913045</v>
      </c>
      <c r="M66" s="288">
        <v>5</v>
      </c>
      <c r="N66" s="289">
        <f aca="true" t="shared" si="15" ref="N66:N77">(Y66*M66%)/G66*1000</f>
        <v>71043.47826086957</v>
      </c>
      <c r="O66" s="290">
        <v>22.95</v>
      </c>
      <c r="P66" s="291" t="s">
        <v>1590</v>
      </c>
      <c r="Q66" s="288">
        <v>1.05</v>
      </c>
      <c r="R66" s="289">
        <f aca="true" t="shared" si="16" ref="R66:R77">O66*diezel*Q66</f>
        <v>462233.90745</v>
      </c>
      <c r="S66" s="292" t="s">
        <v>1591</v>
      </c>
      <c r="T66" s="289">
        <f>'Nhan cong'!$M$42</f>
        <v>145974.23076923078</v>
      </c>
      <c r="U66" s="250">
        <f>ROUND((J66+L66+N66+R66+T66),0)</f>
        <v>1008041</v>
      </c>
      <c r="V66" s="250">
        <v>1028894</v>
      </c>
      <c r="W66" s="250">
        <v>1008041</v>
      </c>
      <c r="X66" s="250">
        <v>977455</v>
      </c>
      <c r="Y66" s="293">
        <v>326800</v>
      </c>
      <c r="Z66" s="294"/>
      <c r="AA66" s="251"/>
      <c r="AB66" s="251"/>
    </row>
    <row r="67" spans="1:28" s="295" customFormat="1" ht="15.75">
      <c r="A67" s="284">
        <v>52</v>
      </c>
      <c r="B67" s="284">
        <v>0</v>
      </c>
      <c r="C67" s="284" t="s">
        <v>238</v>
      </c>
      <c r="D67" s="284" t="s">
        <v>3212</v>
      </c>
      <c r="E67" s="285" t="s">
        <v>2471</v>
      </c>
      <c r="F67" s="286" t="s">
        <v>239</v>
      </c>
      <c r="G67" s="284">
        <v>230</v>
      </c>
      <c r="H67" s="284">
        <v>18</v>
      </c>
      <c r="I67" s="284">
        <v>0.95</v>
      </c>
      <c r="J67" s="287">
        <f t="shared" si="13"/>
        <v>258581.73913043475</v>
      </c>
      <c r="K67" s="288">
        <v>6.04</v>
      </c>
      <c r="L67" s="289">
        <f t="shared" si="14"/>
        <v>91335.30434782608</v>
      </c>
      <c r="M67" s="288">
        <v>5</v>
      </c>
      <c r="N67" s="289">
        <f t="shared" si="15"/>
        <v>75608.6956521739</v>
      </c>
      <c r="O67" s="290">
        <v>27.54</v>
      </c>
      <c r="P67" s="291" t="s">
        <v>1590</v>
      </c>
      <c r="Q67" s="288">
        <v>1.05</v>
      </c>
      <c r="R67" s="289">
        <f t="shared" si="16"/>
        <v>554680.68894</v>
      </c>
      <c r="S67" s="292" t="s">
        <v>1591</v>
      </c>
      <c r="T67" s="289">
        <f>'Nhan cong'!$M$42</f>
        <v>145974.23076923078</v>
      </c>
      <c r="U67" s="250">
        <f>ROUND((J67+L67+N67+R67+T67),0)-1</f>
        <v>1126180</v>
      </c>
      <c r="V67" s="250">
        <v>1147033</v>
      </c>
      <c r="W67" s="250">
        <v>1126180</v>
      </c>
      <c r="X67" s="250">
        <v>1095595</v>
      </c>
      <c r="Y67" s="293">
        <v>347800</v>
      </c>
      <c r="Z67" s="294">
        <v>-1</v>
      </c>
      <c r="AA67" s="251"/>
      <c r="AB67" s="251"/>
    </row>
    <row r="68" spans="1:28" s="295" customFormat="1" ht="15.75">
      <c r="A68" s="284">
        <v>53</v>
      </c>
      <c r="B68" s="284" t="s">
        <v>652</v>
      </c>
      <c r="C68" s="284" t="s">
        <v>240</v>
      </c>
      <c r="D68" s="284" t="s">
        <v>3213</v>
      </c>
      <c r="E68" s="285" t="s">
        <v>2472</v>
      </c>
      <c r="F68" s="286" t="s">
        <v>241</v>
      </c>
      <c r="G68" s="284">
        <v>230</v>
      </c>
      <c r="H68" s="284">
        <v>18</v>
      </c>
      <c r="I68" s="284">
        <v>0.95</v>
      </c>
      <c r="J68" s="287">
        <f t="shared" si="13"/>
        <v>321703.04347826086</v>
      </c>
      <c r="K68" s="288">
        <v>6.04</v>
      </c>
      <c r="L68" s="289">
        <f t="shared" si="14"/>
        <v>113630.78260869565</v>
      </c>
      <c r="M68" s="288">
        <v>5</v>
      </c>
      <c r="N68" s="289">
        <f t="shared" si="15"/>
        <v>94065.21739130434</v>
      </c>
      <c r="O68" s="290">
        <v>38.25</v>
      </c>
      <c r="P68" s="291" t="s">
        <v>1590</v>
      </c>
      <c r="Q68" s="288">
        <v>1.05</v>
      </c>
      <c r="R68" s="289">
        <f t="shared" si="16"/>
        <v>770389.84575</v>
      </c>
      <c r="S68" s="292" t="s">
        <v>1591</v>
      </c>
      <c r="T68" s="289">
        <f>'Nhan cong'!$M$42</f>
        <v>145974.23076923078</v>
      </c>
      <c r="U68" s="250">
        <f>ROUND((J68+L68+N68+R68+T68),0)-1</f>
        <v>1445762</v>
      </c>
      <c r="V68" s="250">
        <v>1466616</v>
      </c>
      <c r="W68" s="250">
        <v>1445762</v>
      </c>
      <c r="X68" s="250">
        <v>1415177</v>
      </c>
      <c r="Y68" s="293">
        <v>432700</v>
      </c>
      <c r="Z68" s="294">
        <v>-1</v>
      </c>
      <c r="AA68" s="251"/>
      <c r="AB68" s="251"/>
    </row>
    <row r="69" spans="1:28" s="295" customFormat="1" ht="15.75">
      <c r="A69" s="284">
        <v>54</v>
      </c>
      <c r="B69" s="284" t="s">
        <v>735</v>
      </c>
      <c r="C69" s="284" t="s">
        <v>242</v>
      </c>
      <c r="D69" s="284" t="s">
        <v>3214</v>
      </c>
      <c r="E69" s="285" t="s">
        <v>2473</v>
      </c>
      <c r="F69" s="286" t="s">
        <v>243</v>
      </c>
      <c r="G69" s="284">
        <v>250</v>
      </c>
      <c r="H69" s="284">
        <v>17</v>
      </c>
      <c r="I69" s="284">
        <v>0.95</v>
      </c>
      <c r="J69" s="287">
        <f t="shared" si="13"/>
        <v>449228.4</v>
      </c>
      <c r="K69" s="288">
        <v>5.76</v>
      </c>
      <c r="L69" s="289">
        <f t="shared" si="14"/>
        <v>160220.16</v>
      </c>
      <c r="M69" s="288">
        <v>5</v>
      </c>
      <c r="N69" s="289">
        <f t="shared" si="15"/>
        <v>139080</v>
      </c>
      <c r="O69" s="290">
        <v>44.1</v>
      </c>
      <c r="P69" s="291" t="s">
        <v>1590</v>
      </c>
      <c r="Q69" s="288">
        <v>1.05</v>
      </c>
      <c r="R69" s="289">
        <f t="shared" si="16"/>
        <v>888214.1751</v>
      </c>
      <c r="S69" s="292" t="s">
        <v>1600</v>
      </c>
      <c r="T69" s="296">
        <f>'Nhan cong'!M$38+'Nhan cong'!M$46</f>
        <v>296019.23076923075</v>
      </c>
      <c r="U69" s="250">
        <f>ROUND((J69+L69+N69+R69+T69),0)</f>
        <v>1932762</v>
      </c>
      <c r="V69" s="250">
        <v>1975051</v>
      </c>
      <c r="W69" s="250">
        <v>1932762</v>
      </c>
      <c r="X69" s="250">
        <v>1870738</v>
      </c>
      <c r="Y69" s="293">
        <v>695400</v>
      </c>
      <c r="Z69" s="294"/>
      <c r="AA69" s="251"/>
      <c r="AB69" s="251"/>
    </row>
    <row r="70" spans="1:28" s="295" customFormat="1" ht="15.75">
      <c r="A70" s="284">
        <v>55</v>
      </c>
      <c r="B70" s="284" t="s">
        <v>647</v>
      </c>
      <c r="C70" s="284" t="s">
        <v>244</v>
      </c>
      <c r="D70" s="284" t="s">
        <v>3215</v>
      </c>
      <c r="E70" s="285" t="s">
        <v>2474</v>
      </c>
      <c r="F70" s="286" t="s">
        <v>245</v>
      </c>
      <c r="G70" s="284">
        <v>250</v>
      </c>
      <c r="H70" s="284">
        <v>17</v>
      </c>
      <c r="I70" s="284">
        <v>0.95</v>
      </c>
      <c r="J70" s="287">
        <f t="shared" si="13"/>
        <v>479978.00000000006</v>
      </c>
      <c r="K70" s="288">
        <v>5.76</v>
      </c>
      <c r="L70" s="289">
        <f t="shared" si="14"/>
        <v>171187.19999999998</v>
      </c>
      <c r="M70" s="288">
        <v>5</v>
      </c>
      <c r="N70" s="289">
        <f t="shared" si="15"/>
        <v>148600</v>
      </c>
      <c r="O70" s="290">
        <v>46.2</v>
      </c>
      <c r="P70" s="291" t="s">
        <v>1590</v>
      </c>
      <c r="Q70" s="288">
        <v>1.05</v>
      </c>
      <c r="R70" s="289">
        <f t="shared" si="16"/>
        <v>930510.0882000001</v>
      </c>
      <c r="S70" s="292" t="s">
        <v>1600</v>
      </c>
      <c r="T70" s="296">
        <f>'Nhan cong'!M$38+'Nhan cong'!M$46</f>
        <v>296019.23076923075</v>
      </c>
      <c r="U70" s="250">
        <f>ROUND((J70+L70+N70+R70+T70),0)-1</f>
        <v>2026294</v>
      </c>
      <c r="V70" s="250">
        <v>2068583</v>
      </c>
      <c r="W70" s="250">
        <v>2026294</v>
      </c>
      <c r="X70" s="250">
        <v>1964271</v>
      </c>
      <c r="Y70" s="293">
        <v>743000</v>
      </c>
      <c r="Z70" s="294">
        <v>-1</v>
      </c>
      <c r="AA70" s="251"/>
      <c r="AB70" s="251"/>
    </row>
    <row r="71" spans="1:28" s="295" customFormat="1" ht="15.75">
      <c r="A71" s="284">
        <v>56</v>
      </c>
      <c r="B71" s="284">
        <v>0</v>
      </c>
      <c r="C71" s="284" t="s">
        <v>246</v>
      </c>
      <c r="D71" s="284" t="s">
        <v>3216</v>
      </c>
      <c r="E71" s="285" t="s">
        <v>2475</v>
      </c>
      <c r="F71" s="286" t="s">
        <v>247</v>
      </c>
      <c r="G71" s="284">
        <v>250</v>
      </c>
      <c r="H71" s="284">
        <v>17</v>
      </c>
      <c r="I71" s="284">
        <v>0.95</v>
      </c>
      <c r="J71" s="287">
        <f t="shared" si="13"/>
        <v>613635.4</v>
      </c>
      <c r="K71" s="288">
        <v>5.76</v>
      </c>
      <c r="L71" s="289">
        <f t="shared" si="14"/>
        <v>218856.96</v>
      </c>
      <c r="M71" s="288">
        <v>5</v>
      </c>
      <c r="N71" s="289">
        <f t="shared" si="15"/>
        <v>189980</v>
      </c>
      <c r="O71" s="290">
        <v>54.6</v>
      </c>
      <c r="P71" s="291" t="s">
        <v>1590</v>
      </c>
      <c r="Q71" s="288">
        <v>1.05</v>
      </c>
      <c r="R71" s="289">
        <f t="shared" si="16"/>
        <v>1099693.7406000001</v>
      </c>
      <c r="S71" s="292" t="s">
        <v>1600</v>
      </c>
      <c r="T71" s="296">
        <f>'Nhan cong'!M$38+'Nhan cong'!M$46</f>
        <v>296019.23076923075</v>
      </c>
      <c r="U71" s="250">
        <f>ROUND((J71+L71+N71+R71+T71),0)-1</f>
        <v>2418184</v>
      </c>
      <c r="V71" s="250">
        <v>2460473</v>
      </c>
      <c r="W71" s="250">
        <v>2418184</v>
      </c>
      <c r="X71" s="250">
        <v>2356162</v>
      </c>
      <c r="Y71" s="293">
        <v>949900</v>
      </c>
      <c r="Z71" s="294">
        <v>-1</v>
      </c>
      <c r="AA71" s="251"/>
      <c r="AB71" s="251"/>
    </row>
    <row r="72" spans="1:28" s="295" customFormat="1" ht="15.75">
      <c r="A72" s="284">
        <v>57</v>
      </c>
      <c r="B72" s="284" t="s">
        <v>648</v>
      </c>
      <c r="C72" s="284" t="s">
        <v>248</v>
      </c>
      <c r="D72" s="284" t="s">
        <v>3217</v>
      </c>
      <c r="E72" s="285" t="s">
        <v>2476</v>
      </c>
      <c r="F72" s="286" t="s">
        <v>249</v>
      </c>
      <c r="G72" s="284">
        <v>250</v>
      </c>
      <c r="H72" s="284">
        <v>17</v>
      </c>
      <c r="I72" s="284">
        <v>0.95</v>
      </c>
      <c r="J72" s="287">
        <f t="shared" si="13"/>
        <v>770225.8</v>
      </c>
      <c r="K72" s="288">
        <v>5.76</v>
      </c>
      <c r="L72" s="289">
        <f t="shared" si="14"/>
        <v>274705.92</v>
      </c>
      <c r="M72" s="288">
        <v>5</v>
      </c>
      <c r="N72" s="289">
        <f t="shared" si="15"/>
        <v>238460</v>
      </c>
      <c r="O72" s="290">
        <v>58.8</v>
      </c>
      <c r="P72" s="291" t="s">
        <v>1590</v>
      </c>
      <c r="Q72" s="288">
        <v>1.05</v>
      </c>
      <c r="R72" s="289">
        <f t="shared" si="16"/>
        <v>1184285.5668</v>
      </c>
      <c r="S72" s="292" t="s">
        <v>1600</v>
      </c>
      <c r="T72" s="296">
        <f>'Nhan cong'!M$38+'Nhan cong'!M$46</f>
        <v>296019.23076923075</v>
      </c>
      <c r="U72" s="250">
        <f>ROUND((J72+L72+N72+R72+T72),0)-1</f>
        <v>2763696</v>
      </c>
      <c r="V72" s="250">
        <v>2805985</v>
      </c>
      <c r="W72" s="250">
        <v>2763696</v>
      </c>
      <c r="X72" s="250">
        <v>2701673</v>
      </c>
      <c r="Y72" s="293">
        <v>1192300</v>
      </c>
      <c r="Z72" s="294"/>
      <c r="AA72" s="251"/>
      <c r="AB72" s="251"/>
    </row>
    <row r="73" spans="1:28" s="295" customFormat="1" ht="15.75">
      <c r="A73" s="284">
        <v>58</v>
      </c>
      <c r="B73" s="284">
        <v>0</v>
      </c>
      <c r="C73" s="284" t="s">
        <v>250</v>
      </c>
      <c r="D73" s="284" t="s">
        <v>3218</v>
      </c>
      <c r="E73" s="285" t="s">
        <v>2477</v>
      </c>
      <c r="F73" s="286" t="s">
        <v>251</v>
      </c>
      <c r="G73" s="284">
        <v>250</v>
      </c>
      <c r="H73" s="284">
        <v>17</v>
      </c>
      <c r="I73" s="284">
        <v>0.95</v>
      </c>
      <c r="J73" s="287">
        <f t="shared" si="13"/>
        <v>871583.2000000001</v>
      </c>
      <c r="K73" s="288">
        <v>5.76</v>
      </c>
      <c r="L73" s="289">
        <f t="shared" si="14"/>
        <v>310855.68</v>
      </c>
      <c r="M73" s="288">
        <v>5</v>
      </c>
      <c r="N73" s="289">
        <f t="shared" si="15"/>
        <v>269840</v>
      </c>
      <c r="O73" s="290">
        <v>67.2</v>
      </c>
      <c r="P73" s="291" t="s">
        <v>1590</v>
      </c>
      <c r="Q73" s="288">
        <v>1.05</v>
      </c>
      <c r="R73" s="289">
        <f t="shared" si="16"/>
        <v>1353469.2192000002</v>
      </c>
      <c r="S73" s="292" t="s">
        <v>1600</v>
      </c>
      <c r="T73" s="296">
        <f>'Nhan cong'!M$38+'Nhan cong'!M$46</f>
        <v>296019.23076923075</v>
      </c>
      <c r="U73" s="250">
        <f>ROUND((J73+L73+N73+R73+T73),0)</f>
        <v>3101767</v>
      </c>
      <c r="V73" s="250">
        <v>3144056</v>
      </c>
      <c r="W73" s="250">
        <v>3101766</v>
      </c>
      <c r="X73" s="250">
        <v>3039743</v>
      </c>
      <c r="Y73" s="293">
        <v>1349200</v>
      </c>
      <c r="Z73" s="294"/>
      <c r="AA73" s="251"/>
      <c r="AB73" s="251"/>
    </row>
    <row r="74" spans="1:28" s="295" customFormat="1" ht="15.75">
      <c r="A74" s="284">
        <v>59</v>
      </c>
      <c r="B74" s="284" t="s">
        <v>649</v>
      </c>
      <c r="C74" s="284" t="s">
        <v>252</v>
      </c>
      <c r="D74" s="284" t="s">
        <v>3219</v>
      </c>
      <c r="E74" s="285" t="s">
        <v>2478</v>
      </c>
      <c r="F74" s="286" t="s">
        <v>253</v>
      </c>
      <c r="G74" s="284">
        <v>250</v>
      </c>
      <c r="H74" s="284">
        <v>16</v>
      </c>
      <c r="I74" s="284">
        <v>0.95</v>
      </c>
      <c r="J74" s="287">
        <f t="shared" si="13"/>
        <v>930057.6</v>
      </c>
      <c r="K74" s="288">
        <v>5.48</v>
      </c>
      <c r="L74" s="289">
        <f t="shared" si="14"/>
        <v>335310.24</v>
      </c>
      <c r="M74" s="288">
        <v>5</v>
      </c>
      <c r="N74" s="289">
        <f t="shared" si="15"/>
        <v>305940</v>
      </c>
      <c r="O74" s="290">
        <v>75.6</v>
      </c>
      <c r="P74" s="291" t="s">
        <v>1590</v>
      </c>
      <c r="Q74" s="288">
        <v>1.05</v>
      </c>
      <c r="R74" s="289">
        <f t="shared" si="16"/>
        <v>1522652.8716</v>
      </c>
      <c r="S74" s="292" t="s">
        <v>1600</v>
      </c>
      <c r="T74" s="296">
        <f>'Nhan cong'!M$38+'Nhan cong'!M$46</f>
        <v>296019.23076923075</v>
      </c>
      <c r="U74" s="250">
        <f>ROUND((J74+L74+N74+R74+T74),0)-1</f>
        <v>3389979</v>
      </c>
      <c r="V74" s="250">
        <v>3432268</v>
      </c>
      <c r="W74" s="250">
        <v>3389979</v>
      </c>
      <c r="X74" s="250">
        <v>3327956</v>
      </c>
      <c r="Y74" s="293">
        <v>1529700</v>
      </c>
      <c r="Z74" s="294">
        <v>-1</v>
      </c>
      <c r="AA74" s="251"/>
      <c r="AB74" s="251"/>
    </row>
    <row r="75" spans="1:28" s="295" customFormat="1" ht="15.75">
      <c r="A75" s="284">
        <v>60</v>
      </c>
      <c r="B75" s="284" t="s">
        <v>650</v>
      </c>
      <c r="C75" s="284" t="s">
        <v>254</v>
      </c>
      <c r="D75" s="284" t="s">
        <v>3220</v>
      </c>
      <c r="E75" s="285" t="s">
        <v>2479</v>
      </c>
      <c r="F75" s="286" t="s">
        <v>255</v>
      </c>
      <c r="G75" s="284">
        <v>250</v>
      </c>
      <c r="H75" s="284">
        <v>16</v>
      </c>
      <c r="I75" s="284">
        <v>0.95</v>
      </c>
      <c r="J75" s="287">
        <f t="shared" si="13"/>
        <v>1168393.5999999999</v>
      </c>
      <c r="K75" s="288">
        <v>5.16</v>
      </c>
      <c r="L75" s="289">
        <f t="shared" si="14"/>
        <v>396638.88</v>
      </c>
      <c r="M75" s="288">
        <v>5</v>
      </c>
      <c r="N75" s="289">
        <f t="shared" si="15"/>
        <v>384340</v>
      </c>
      <c r="O75" s="290">
        <v>93.6</v>
      </c>
      <c r="P75" s="291" t="s">
        <v>1590</v>
      </c>
      <c r="Q75" s="288">
        <v>1.05</v>
      </c>
      <c r="R75" s="289">
        <f t="shared" si="16"/>
        <v>1885189.2696</v>
      </c>
      <c r="S75" s="292" t="s">
        <v>256</v>
      </c>
      <c r="T75" s="296">
        <f>'Nhan cong'!M$38+'Nhan cong'!M$49</f>
        <v>324005.76923076925</v>
      </c>
      <c r="U75" s="250">
        <f>ROUND((J75+L75+N75+R75+T75),0)-2</f>
        <v>4158566</v>
      </c>
      <c r="V75" s="250">
        <v>4204852</v>
      </c>
      <c r="W75" s="250">
        <v>4158566</v>
      </c>
      <c r="X75" s="250">
        <v>4090680</v>
      </c>
      <c r="Y75" s="293">
        <v>1921700</v>
      </c>
      <c r="Z75" s="294">
        <v>-2</v>
      </c>
      <c r="AA75" s="251"/>
      <c r="AB75" s="251"/>
    </row>
    <row r="76" spans="1:28" s="295" customFormat="1" ht="15.75">
      <c r="A76" s="284">
        <v>61</v>
      </c>
      <c r="B76" s="284">
        <v>0</v>
      </c>
      <c r="C76" s="284" t="s">
        <v>257</v>
      </c>
      <c r="D76" s="284" t="s">
        <v>3221</v>
      </c>
      <c r="E76" s="285" t="s">
        <v>2480</v>
      </c>
      <c r="F76" s="286" t="s">
        <v>258</v>
      </c>
      <c r="G76" s="284">
        <v>250</v>
      </c>
      <c r="H76" s="284">
        <v>14</v>
      </c>
      <c r="I76" s="284">
        <v>0.95</v>
      </c>
      <c r="J76" s="287">
        <f t="shared" si="13"/>
        <v>1254030.4000000001</v>
      </c>
      <c r="K76" s="288">
        <v>4.64</v>
      </c>
      <c r="L76" s="289">
        <f t="shared" si="14"/>
        <v>437496.31999999995</v>
      </c>
      <c r="M76" s="288">
        <v>5</v>
      </c>
      <c r="N76" s="289">
        <f t="shared" si="15"/>
        <v>471440</v>
      </c>
      <c r="O76" s="290">
        <v>105.69</v>
      </c>
      <c r="P76" s="291" t="s">
        <v>1590</v>
      </c>
      <c r="Q76" s="288">
        <v>1.05</v>
      </c>
      <c r="R76" s="289">
        <f t="shared" si="16"/>
        <v>2128692.88359</v>
      </c>
      <c r="S76" s="292" t="s">
        <v>256</v>
      </c>
      <c r="T76" s="296">
        <f>'Nhan cong'!M$38+'Nhan cong'!M$49</f>
        <v>324005.76923076925</v>
      </c>
      <c r="U76" s="250">
        <f>ROUND((J76+L76+N76+R76+T76),0)</f>
        <v>4615665</v>
      </c>
      <c r="V76" s="250">
        <v>4661951</v>
      </c>
      <c r="W76" s="250">
        <v>4615665</v>
      </c>
      <c r="X76" s="250">
        <v>4547777</v>
      </c>
      <c r="Y76" s="293">
        <v>2357200</v>
      </c>
      <c r="Z76" s="294"/>
      <c r="AA76" s="251"/>
      <c r="AB76" s="251"/>
    </row>
    <row r="77" spans="1:28" s="295" customFormat="1" ht="15.75">
      <c r="A77" s="284">
        <v>62</v>
      </c>
      <c r="B77" s="284" t="s">
        <v>651</v>
      </c>
      <c r="C77" s="284" t="s">
        <v>259</v>
      </c>
      <c r="D77" s="284" t="s">
        <v>3222</v>
      </c>
      <c r="E77" s="285" t="s">
        <v>2481</v>
      </c>
      <c r="F77" s="286" t="s">
        <v>260</v>
      </c>
      <c r="G77" s="284">
        <v>250</v>
      </c>
      <c r="H77" s="284">
        <v>14</v>
      </c>
      <c r="I77" s="284">
        <v>0.95</v>
      </c>
      <c r="J77" s="287">
        <f t="shared" si="13"/>
        <v>1721871.2000000002</v>
      </c>
      <c r="K77" s="288">
        <v>4.08</v>
      </c>
      <c r="L77" s="289">
        <f t="shared" si="14"/>
        <v>528213.12</v>
      </c>
      <c r="M77" s="288">
        <v>5</v>
      </c>
      <c r="N77" s="289">
        <f t="shared" si="15"/>
        <v>647320</v>
      </c>
      <c r="O77" s="290">
        <v>124.8</v>
      </c>
      <c r="P77" s="291" t="s">
        <v>1590</v>
      </c>
      <c r="Q77" s="288">
        <v>1.05</v>
      </c>
      <c r="R77" s="289">
        <f t="shared" si="16"/>
        <v>2513585.6928</v>
      </c>
      <c r="S77" s="292" t="s">
        <v>261</v>
      </c>
      <c r="T77" s="296">
        <f>'Nhan cong'!M$38+'Nhan cong'!M$50</f>
        <v>357589.6153846154</v>
      </c>
      <c r="U77" s="250">
        <f>ROUND((J77+L77+N77+R77+T77),0)-2</f>
        <v>5768578</v>
      </c>
      <c r="V77" s="250">
        <v>5819662</v>
      </c>
      <c r="W77" s="250">
        <v>5768578</v>
      </c>
      <c r="X77" s="250">
        <v>5693655</v>
      </c>
      <c r="Y77" s="293">
        <v>3236600</v>
      </c>
      <c r="Z77" s="294">
        <v>-2</v>
      </c>
      <c r="AA77" s="251"/>
      <c r="AB77" s="251"/>
    </row>
    <row r="78" spans="1:28" s="295" customFormat="1" ht="15.75">
      <c r="A78" s="297"/>
      <c r="B78" s="284"/>
      <c r="C78" s="298"/>
      <c r="D78" s="284"/>
      <c r="E78" s="272"/>
      <c r="F78" s="151" t="s">
        <v>262</v>
      </c>
      <c r="G78" s="284"/>
      <c r="H78" s="284"/>
      <c r="I78" s="284"/>
      <c r="J78" s="299"/>
      <c r="K78" s="288"/>
      <c r="L78" s="289"/>
      <c r="M78" s="288"/>
      <c r="N78" s="300"/>
      <c r="O78" s="290"/>
      <c r="P78" s="291"/>
      <c r="Q78" s="288"/>
      <c r="R78" s="300"/>
      <c r="S78" s="292"/>
      <c r="T78" s="296"/>
      <c r="U78" s="250"/>
      <c r="V78" s="250"/>
      <c r="W78" s="250"/>
      <c r="X78" s="250"/>
      <c r="Y78" s="293"/>
      <c r="Z78" s="385"/>
      <c r="AA78" s="251"/>
      <c r="AB78" s="251"/>
    </row>
    <row r="79" spans="1:28" s="295" customFormat="1" ht="15.75">
      <c r="A79" s="284">
        <v>63</v>
      </c>
      <c r="B79" s="284">
        <v>0</v>
      </c>
      <c r="C79" s="284" t="s">
        <v>263</v>
      </c>
      <c r="D79" s="284" t="s">
        <v>3223</v>
      </c>
      <c r="E79" s="285" t="s">
        <v>79</v>
      </c>
      <c r="F79" s="286" t="s">
        <v>1618</v>
      </c>
      <c r="G79" s="284">
        <v>210</v>
      </c>
      <c r="H79" s="284">
        <v>18</v>
      </c>
      <c r="I79" s="284">
        <v>0.95</v>
      </c>
      <c r="J79" s="287">
        <f aca="true" t="shared" si="17" ref="J79:J85">Y79*H79%*I79/G79*1000</f>
        <v>411539.99999999994</v>
      </c>
      <c r="K79" s="288">
        <v>4.24</v>
      </c>
      <c r="L79" s="289">
        <f aca="true" t="shared" si="18" ref="L79:L85">(Y79*K79%)/G79*1000</f>
        <v>102042.66666666666</v>
      </c>
      <c r="M79" s="288">
        <v>5</v>
      </c>
      <c r="N79" s="289">
        <f aca="true" t="shared" si="19" ref="N79:N85">(Y79*M79%)/G79*1000</f>
        <v>120333.33333333333</v>
      </c>
      <c r="O79" s="290">
        <v>37.665</v>
      </c>
      <c r="P79" s="291" t="s">
        <v>1590</v>
      </c>
      <c r="Q79" s="288">
        <v>1.05</v>
      </c>
      <c r="R79" s="289">
        <f aca="true" t="shared" si="20" ref="R79:R85">O79*diezel*Q79</f>
        <v>758607.4128149999</v>
      </c>
      <c r="S79" s="292" t="s">
        <v>1591</v>
      </c>
      <c r="T79" s="289">
        <f>'Nhan cong'!$M$42</f>
        <v>145974.23076923078</v>
      </c>
      <c r="U79" s="250">
        <f>ROUND((J79+L79+N79+R79+T79),0)+99</f>
        <v>1538597</v>
      </c>
      <c r="V79" s="250">
        <v>1559351</v>
      </c>
      <c r="W79" s="250">
        <v>1538597</v>
      </c>
      <c r="X79" s="250">
        <v>1508013</v>
      </c>
      <c r="Y79" s="293">
        <v>505400</v>
      </c>
      <c r="Z79" s="294">
        <v>99</v>
      </c>
      <c r="AA79" s="251"/>
      <c r="AB79" s="251"/>
    </row>
    <row r="80" spans="1:28" s="295" customFormat="1" ht="15.75">
      <c r="A80" s="284">
        <v>64</v>
      </c>
      <c r="B80" s="284">
        <v>0</v>
      </c>
      <c r="C80" s="284" t="s">
        <v>264</v>
      </c>
      <c r="D80" s="284" t="s">
        <v>3224</v>
      </c>
      <c r="E80" s="285" t="s">
        <v>80</v>
      </c>
      <c r="F80" s="286" t="s">
        <v>265</v>
      </c>
      <c r="G80" s="284">
        <v>210</v>
      </c>
      <c r="H80" s="284">
        <v>18</v>
      </c>
      <c r="I80" s="284">
        <v>0.95</v>
      </c>
      <c r="J80" s="287">
        <f t="shared" si="17"/>
        <v>452987.14285714284</v>
      </c>
      <c r="K80" s="288">
        <v>4.24</v>
      </c>
      <c r="L80" s="289">
        <f t="shared" si="18"/>
        <v>112319.61904761904</v>
      </c>
      <c r="M80" s="288">
        <v>5</v>
      </c>
      <c r="N80" s="289">
        <f t="shared" si="19"/>
        <v>132452.38095238098</v>
      </c>
      <c r="O80" s="290">
        <v>38.475</v>
      </c>
      <c r="P80" s="291" t="s">
        <v>1590</v>
      </c>
      <c r="Q80" s="288">
        <v>1.05</v>
      </c>
      <c r="R80" s="289">
        <f t="shared" si="20"/>
        <v>774921.5507250001</v>
      </c>
      <c r="S80" s="292" t="s">
        <v>1591</v>
      </c>
      <c r="T80" s="289">
        <f>'Nhan cong'!$M$42</f>
        <v>145974.23076923078</v>
      </c>
      <c r="U80" s="250">
        <f>ROUND((J80+L80+N80+R80+T80),0)+100</f>
        <v>1618755</v>
      </c>
      <c r="V80" s="250">
        <v>1639508</v>
      </c>
      <c r="W80" s="250">
        <v>1618755</v>
      </c>
      <c r="X80" s="250">
        <v>1588170</v>
      </c>
      <c r="Y80" s="293">
        <v>556300</v>
      </c>
      <c r="Z80" s="294">
        <v>100</v>
      </c>
      <c r="AA80" s="251"/>
      <c r="AB80" s="251"/>
    </row>
    <row r="81" spans="1:28" s="295" customFormat="1" ht="15.75">
      <c r="A81" s="284">
        <v>65</v>
      </c>
      <c r="B81" s="284">
        <v>0</v>
      </c>
      <c r="C81" s="284" t="s">
        <v>266</v>
      </c>
      <c r="D81" s="284" t="s">
        <v>3225</v>
      </c>
      <c r="E81" s="285" t="s">
        <v>2482</v>
      </c>
      <c r="F81" s="286" t="s">
        <v>267</v>
      </c>
      <c r="G81" s="284">
        <v>210</v>
      </c>
      <c r="H81" s="284">
        <v>18</v>
      </c>
      <c r="I81" s="284">
        <v>0.95</v>
      </c>
      <c r="J81" s="287">
        <f t="shared" si="17"/>
        <v>476112.85714285716</v>
      </c>
      <c r="K81" s="288">
        <v>4.24</v>
      </c>
      <c r="L81" s="289">
        <f t="shared" si="18"/>
        <v>118053.71428571428</v>
      </c>
      <c r="M81" s="288">
        <v>5</v>
      </c>
      <c r="N81" s="289">
        <f t="shared" si="19"/>
        <v>139214.2857142857</v>
      </c>
      <c r="O81" s="290">
        <v>40.5</v>
      </c>
      <c r="P81" s="291" t="s">
        <v>1590</v>
      </c>
      <c r="Q81" s="288">
        <v>1.05</v>
      </c>
      <c r="R81" s="289">
        <f t="shared" si="20"/>
        <v>815706.8955</v>
      </c>
      <c r="S81" s="292" t="s">
        <v>1591</v>
      </c>
      <c r="T81" s="289">
        <f>'Nhan cong'!$M$42</f>
        <v>145974.23076923078</v>
      </c>
      <c r="U81" s="250">
        <f>ROUND((J81+L81+N81+R81+T81),0)</f>
        <v>1695062</v>
      </c>
      <c r="V81" s="250">
        <v>1715915</v>
      </c>
      <c r="W81" s="250">
        <v>1695062</v>
      </c>
      <c r="X81" s="250">
        <v>1664477</v>
      </c>
      <c r="Y81" s="293">
        <v>584700</v>
      </c>
      <c r="Z81" s="294"/>
      <c r="AA81" s="251"/>
      <c r="AB81" s="251"/>
    </row>
    <row r="82" spans="1:28" s="295" customFormat="1" ht="15.75">
      <c r="A82" s="284">
        <v>66</v>
      </c>
      <c r="B82" s="284">
        <v>0</v>
      </c>
      <c r="C82" s="284" t="s">
        <v>268</v>
      </c>
      <c r="D82" s="284" t="s">
        <v>3226</v>
      </c>
      <c r="E82" s="285" t="s">
        <v>2483</v>
      </c>
      <c r="F82" s="286" t="s">
        <v>269</v>
      </c>
      <c r="G82" s="284">
        <v>210</v>
      </c>
      <c r="H82" s="284">
        <v>18</v>
      </c>
      <c r="I82" s="284">
        <v>0.95</v>
      </c>
      <c r="J82" s="287">
        <f t="shared" si="17"/>
        <v>629931.4285714285</v>
      </c>
      <c r="K82" s="288">
        <v>4.24</v>
      </c>
      <c r="L82" s="289">
        <f t="shared" si="18"/>
        <v>156193.52380952382</v>
      </c>
      <c r="M82" s="288">
        <v>5</v>
      </c>
      <c r="N82" s="289">
        <f t="shared" si="19"/>
        <v>184190.4761904762</v>
      </c>
      <c r="O82" s="290">
        <v>58.32</v>
      </c>
      <c r="P82" s="291" t="s">
        <v>1590</v>
      </c>
      <c r="Q82" s="288">
        <v>1.05</v>
      </c>
      <c r="R82" s="289">
        <f t="shared" si="20"/>
        <v>1174617.9295200002</v>
      </c>
      <c r="S82" s="292" t="s">
        <v>1591</v>
      </c>
      <c r="T82" s="289">
        <f>'Nhan cong'!$M$42</f>
        <v>145974.23076923078</v>
      </c>
      <c r="U82" s="250">
        <f>ROUND((J82+L82+N82+R82+T82),0)-1</f>
        <v>2290907</v>
      </c>
      <c r="V82" s="250">
        <v>2311761</v>
      </c>
      <c r="W82" s="250">
        <v>2290907</v>
      </c>
      <c r="X82" s="250">
        <v>2260322</v>
      </c>
      <c r="Y82" s="293">
        <v>773600</v>
      </c>
      <c r="Z82" s="294">
        <v>-1</v>
      </c>
      <c r="AA82" s="251"/>
      <c r="AB82" s="251"/>
    </row>
    <row r="83" spans="1:28" s="295" customFormat="1" ht="15.75">
      <c r="A83" s="284">
        <v>67</v>
      </c>
      <c r="B83" s="284">
        <v>0</v>
      </c>
      <c r="C83" s="284" t="s">
        <v>270</v>
      </c>
      <c r="D83" s="284" t="s">
        <v>3227</v>
      </c>
      <c r="E83" s="285" t="s">
        <v>2484</v>
      </c>
      <c r="F83" s="286" t="s">
        <v>439</v>
      </c>
      <c r="G83" s="284">
        <v>210</v>
      </c>
      <c r="H83" s="284">
        <v>17</v>
      </c>
      <c r="I83" s="284">
        <v>0.95</v>
      </c>
      <c r="J83" s="287">
        <f t="shared" si="17"/>
        <v>646384.5238095238</v>
      </c>
      <c r="K83" s="288">
        <v>4.06</v>
      </c>
      <c r="L83" s="289">
        <f t="shared" si="18"/>
        <v>162496.66666666663</v>
      </c>
      <c r="M83" s="288">
        <v>5</v>
      </c>
      <c r="N83" s="289">
        <f t="shared" si="19"/>
        <v>200119.04761904763</v>
      </c>
      <c r="O83" s="290">
        <v>58.32</v>
      </c>
      <c r="P83" s="291" t="s">
        <v>1590</v>
      </c>
      <c r="Q83" s="288">
        <v>1.05</v>
      </c>
      <c r="R83" s="289">
        <f t="shared" si="20"/>
        <v>1174617.9295200002</v>
      </c>
      <c r="S83" s="292" t="s">
        <v>1600</v>
      </c>
      <c r="T83" s="296">
        <f>'Nhan cong'!M$38+'Nhan cong'!M$46</f>
        <v>296019.23076923075</v>
      </c>
      <c r="U83" s="250">
        <f>ROUND((J83+L83+N83+R83+T83),0)</f>
        <v>2479637</v>
      </c>
      <c r="V83" s="250">
        <v>2521926</v>
      </c>
      <c r="W83" s="250">
        <v>2479637</v>
      </c>
      <c r="X83" s="250">
        <v>2417614</v>
      </c>
      <c r="Y83" s="293">
        <v>840500</v>
      </c>
      <c r="Z83" s="294"/>
      <c r="AA83" s="251"/>
      <c r="AB83" s="251"/>
    </row>
    <row r="84" spans="1:28" s="295" customFormat="1" ht="15.75">
      <c r="A84" s="284">
        <v>68</v>
      </c>
      <c r="B84" s="284">
        <v>0</v>
      </c>
      <c r="C84" s="284" t="s">
        <v>271</v>
      </c>
      <c r="D84" s="284" t="s">
        <v>3228</v>
      </c>
      <c r="E84" s="285" t="s">
        <v>2485</v>
      </c>
      <c r="F84" s="286" t="s">
        <v>441</v>
      </c>
      <c r="G84" s="284">
        <v>210</v>
      </c>
      <c r="H84" s="284">
        <v>17</v>
      </c>
      <c r="I84" s="284">
        <v>0.95</v>
      </c>
      <c r="J84" s="287">
        <f t="shared" si="17"/>
        <v>801578.3333333333</v>
      </c>
      <c r="K84" s="288">
        <v>4.06</v>
      </c>
      <c r="L84" s="289">
        <f t="shared" si="18"/>
        <v>201511.3333333333</v>
      </c>
      <c r="M84" s="288">
        <v>5</v>
      </c>
      <c r="N84" s="289">
        <f t="shared" si="19"/>
        <v>248166.66666666666</v>
      </c>
      <c r="O84" s="290">
        <v>71.4</v>
      </c>
      <c r="P84" s="291" t="s">
        <v>1590</v>
      </c>
      <c r="Q84" s="288">
        <v>1.05</v>
      </c>
      <c r="R84" s="289">
        <f t="shared" si="20"/>
        <v>1438061.0454000002</v>
      </c>
      <c r="S84" s="292" t="s">
        <v>1600</v>
      </c>
      <c r="T84" s="296">
        <f>'Nhan cong'!M$38+'Nhan cong'!M$46</f>
        <v>296019.23076923075</v>
      </c>
      <c r="U84" s="250">
        <f>ROUND((J84+L84+N84+R84+T84),0)-1</f>
        <v>2985336</v>
      </c>
      <c r="V84" s="250">
        <v>3027625</v>
      </c>
      <c r="W84" s="250">
        <v>2985336</v>
      </c>
      <c r="X84" s="250">
        <v>2923313</v>
      </c>
      <c r="Y84" s="293">
        <v>1042300</v>
      </c>
      <c r="Z84" s="294">
        <v>-1</v>
      </c>
      <c r="AA84" s="251"/>
      <c r="AB84" s="251"/>
    </row>
    <row r="85" spans="1:28" s="295" customFormat="1" ht="15.75">
      <c r="A85" s="284">
        <v>69</v>
      </c>
      <c r="B85" s="284">
        <v>0</v>
      </c>
      <c r="C85" s="284" t="s">
        <v>272</v>
      </c>
      <c r="D85" s="284" t="s">
        <v>3778</v>
      </c>
      <c r="E85" s="285" t="s">
        <v>2486</v>
      </c>
      <c r="F85" s="286" t="s">
        <v>273</v>
      </c>
      <c r="G85" s="284">
        <v>210</v>
      </c>
      <c r="H85" s="284">
        <v>17</v>
      </c>
      <c r="I85" s="284">
        <v>0.95</v>
      </c>
      <c r="J85" s="287">
        <f t="shared" si="17"/>
        <v>871407.857142857</v>
      </c>
      <c r="K85" s="288">
        <v>4.06</v>
      </c>
      <c r="L85" s="289">
        <f t="shared" si="18"/>
        <v>219065.99999999997</v>
      </c>
      <c r="M85" s="288">
        <v>5</v>
      </c>
      <c r="N85" s="289">
        <f t="shared" si="19"/>
        <v>269785.71428571426</v>
      </c>
      <c r="O85" s="290">
        <v>76.5</v>
      </c>
      <c r="P85" s="291" t="s">
        <v>1590</v>
      </c>
      <c r="Q85" s="288">
        <v>1.05</v>
      </c>
      <c r="R85" s="289">
        <f t="shared" si="20"/>
        <v>1540779.6915</v>
      </c>
      <c r="S85" s="292" t="s">
        <v>256</v>
      </c>
      <c r="T85" s="296">
        <f>'Nhan cong'!M$38+'Nhan cong'!M$49</f>
        <v>324005.76923076925</v>
      </c>
      <c r="U85" s="250">
        <f>ROUND((J85+L85+N85+R85+T85),0)-1</f>
        <v>3225044</v>
      </c>
      <c r="V85" s="250">
        <v>3271331</v>
      </c>
      <c r="W85" s="250">
        <v>3225044</v>
      </c>
      <c r="X85" s="250">
        <v>3157157</v>
      </c>
      <c r="Y85" s="293">
        <v>1133100</v>
      </c>
      <c r="Z85" s="294">
        <v>-1</v>
      </c>
      <c r="AA85" s="251"/>
      <c r="AB85" s="251"/>
    </row>
    <row r="86" spans="1:28" s="295" customFormat="1" ht="15.75">
      <c r="A86" s="297"/>
      <c r="B86" s="284"/>
      <c r="C86" s="298"/>
      <c r="D86" s="284"/>
      <c r="E86" s="272"/>
      <c r="F86" s="151" t="s">
        <v>274</v>
      </c>
      <c r="G86" s="284"/>
      <c r="H86" s="284"/>
      <c r="I86" s="284"/>
      <c r="J86" s="299"/>
      <c r="K86" s="288"/>
      <c r="L86" s="289"/>
      <c r="M86" s="288"/>
      <c r="N86" s="300"/>
      <c r="O86" s="290"/>
      <c r="P86" s="291"/>
      <c r="Q86" s="288"/>
      <c r="R86" s="300"/>
      <c r="S86" s="292"/>
      <c r="T86" s="296"/>
      <c r="U86" s="250"/>
      <c r="V86" s="250"/>
      <c r="W86" s="250"/>
      <c r="X86" s="250"/>
      <c r="Y86" s="293"/>
      <c r="Z86" s="385"/>
      <c r="AA86" s="251"/>
      <c r="AB86" s="251"/>
    </row>
    <row r="87" spans="1:28" s="295" customFormat="1" ht="15.75">
      <c r="A87" s="284">
        <v>70</v>
      </c>
      <c r="B87" s="284" t="s">
        <v>3833</v>
      </c>
      <c r="C87" s="284" t="s">
        <v>275</v>
      </c>
      <c r="D87" s="284" t="s">
        <v>3229</v>
      </c>
      <c r="E87" s="285" t="s">
        <v>2487</v>
      </c>
      <c r="F87" s="286" t="s">
        <v>276</v>
      </c>
      <c r="G87" s="284">
        <v>240</v>
      </c>
      <c r="H87" s="284">
        <v>17</v>
      </c>
      <c r="I87" s="284">
        <v>0.95</v>
      </c>
      <c r="J87" s="287">
        <f>Y87*H87%*I87/G87*1000</f>
        <v>1014152.7083333334</v>
      </c>
      <c r="K87" s="288">
        <v>4.23</v>
      </c>
      <c r="L87" s="289">
        <f>(Y87*K87%)/G87*1000</f>
        <v>265626.37500000006</v>
      </c>
      <c r="M87" s="288">
        <v>5</v>
      </c>
      <c r="N87" s="289">
        <f>(Y87*M87%)/G87*1000</f>
        <v>313979.1666666667</v>
      </c>
      <c r="O87" s="290">
        <v>132</v>
      </c>
      <c r="P87" s="291" t="s">
        <v>1590</v>
      </c>
      <c r="Q87" s="288">
        <v>1.05</v>
      </c>
      <c r="R87" s="289">
        <f>O87*diezel*Q87</f>
        <v>2658600.252</v>
      </c>
      <c r="S87" s="292" t="s">
        <v>256</v>
      </c>
      <c r="T87" s="296">
        <f>'Nhan cong'!M$38+'Nhan cong'!M$49</f>
        <v>324005.76923076925</v>
      </c>
      <c r="U87" s="250">
        <f>ROUND((J87+L87+N87+R87+T87),0)-1</f>
        <v>4576363</v>
      </c>
      <c r="V87" s="250">
        <v>4622651</v>
      </c>
      <c r="W87" s="250">
        <v>4576363</v>
      </c>
      <c r="X87" s="250">
        <v>4508476</v>
      </c>
      <c r="Y87" s="293">
        <v>1507100</v>
      </c>
      <c r="Z87" s="294">
        <v>-1</v>
      </c>
      <c r="AA87" s="251"/>
      <c r="AB87" s="251"/>
    </row>
    <row r="88" spans="1:28" s="295" customFormat="1" ht="15.75">
      <c r="A88" s="284">
        <v>71</v>
      </c>
      <c r="B88" s="284">
        <v>0</v>
      </c>
      <c r="C88" s="284" t="s">
        <v>277</v>
      </c>
      <c r="D88" s="284" t="s">
        <v>3230</v>
      </c>
      <c r="E88" s="285" t="s">
        <v>2488</v>
      </c>
      <c r="F88" s="286" t="s">
        <v>278</v>
      </c>
      <c r="G88" s="284">
        <v>240</v>
      </c>
      <c r="H88" s="284">
        <v>17</v>
      </c>
      <c r="I88" s="284">
        <v>0.95</v>
      </c>
      <c r="J88" s="287">
        <f>Y88*H88%*I88/G88*1000</f>
        <v>1025996.0416666667</v>
      </c>
      <c r="K88" s="288">
        <v>4.23</v>
      </c>
      <c r="L88" s="289">
        <f>(Y88*K88%)/G88*1000</f>
        <v>268728.375</v>
      </c>
      <c r="M88" s="288">
        <v>5</v>
      </c>
      <c r="N88" s="289">
        <f>(Y88*M88%)/G88*1000</f>
        <v>317645.8333333333</v>
      </c>
      <c r="O88" s="290">
        <v>138</v>
      </c>
      <c r="P88" s="291" t="s">
        <v>1590</v>
      </c>
      <c r="Q88" s="288">
        <v>1.05</v>
      </c>
      <c r="R88" s="289">
        <f>O88*diezel*Q88</f>
        <v>2779445.7180000003</v>
      </c>
      <c r="S88" s="292" t="s">
        <v>256</v>
      </c>
      <c r="T88" s="296">
        <f>'Nhan cong'!M$38+'Nhan cong'!M$49</f>
        <v>324005.76923076925</v>
      </c>
      <c r="U88" s="250">
        <f>ROUND((J88+L88+N88+R88+T88),0)-1</f>
        <v>4715821</v>
      </c>
      <c r="V88" s="250">
        <v>4762108</v>
      </c>
      <c r="W88" s="250">
        <v>4715821</v>
      </c>
      <c r="X88" s="250">
        <v>4647934</v>
      </c>
      <c r="Y88" s="293">
        <v>1524700</v>
      </c>
      <c r="Z88" s="294">
        <v>-1</v>
      </c>
      <c r="AA88" s="251"/>
      <c r="AB88" s="251"/>
    </row>
    <row r="89" spans="1:28" s="295" customFormat="1" ht="15.75">
      <c r="A89" s="284">
        <v>72</v>
      </c>
      <c r="B89" s="284" t="s">
        <v>3832</v>
      </c>
      <c r="C89" s="284" t="s">
        <v>279</v>
      </c>
      <c r="D89" s="284" t="s">
        <v>3231</v>
      </c>
      <c r="E89" s="285" t="s">
        <v>2489</v>
      </c>
      <c r="F89" s="286" t="s">
        <v>280</v>
      </c>
      <c r="G89" s="284">
        <v>240</v>
      </c>
      <c r="H89" s="284">
        <v>16</v>
      </c>
      <c r="I89" s="284">
        <v>0.95</v>
      </c>
      <c r="J89" s="287">
        <f>Y89*H89%*I89/G89*1000</f>
        <v>1453689.9999999998</v>
      </c>
      <c r="K89" s="288">
        <v>4.04</v>
      </c>
      <c r="L89" s="289">
        <f>(Y89*K89%)/G89*1000</f>
        <v>386375.5</v>
      </c>
      <c r="M89" s="288">
        <v>5</v>
      </c>
      <c r="N89" s="289">
        <f>(Y89*M89%)/G89*1000</f>
        <v>478187.5</v>
      </c>
      <c r="O89" s="290">
        <v>153.9</v>
      </c>
      <c r="P89" s="291" t="s">
        <v>1590</v>
      </c>
      <c r="Q89" s="288">
        <v>1.05</v>
      </c>
      <c r="R89" s="289">
        <f>O89*diezel*Q89</f>
        <v>3099686.2029000004</v>
      </c>
      <c r="S89" s="292" t="s">
        <v>261</v>
      </c>
      <c r="T89" s="296">
        <f>'Nhan cong'!M$38+'Nhan cong'!M$50</f>
        <v>357589.6153846154</v>
      </c>
      <c r="U89" s="250">
        <f>ROUND((J89+L89+N89+R89+T89),0)-1</f>
        <v>5775528</v>
      </c>
      <c r="V89" s="250">
        <v>5826613</v>
      </c>
      <c r="W89" s="250">
        <v>5775528</v>
      </c>
      <c r="X89" s="250">
        <v>5700604</v>
      </c>
      <c r="Y89" s="293">
        <v>2295300</v>
      </c>
      <c r="Z89" s="294">
        <v>-1</v>
      </c>
      <c r="AA89" s="251"/>
      <c r="AB89" s="251"/>
    </row>
    <row r="90" spans="1:28" s="295" customFormat="1" ht="15.75">
      <c r="A90" s="284">
        <v>73</v>
      </c>
      <c r="B90" s="284">
        <v>0</v>
      </c>
      <c r="C90" s="284" t="s">
        <v>281</v>
      </c>
      <c r="D90" s="284" t="s">
        <v>3232</v>
      </c>
      <c r="E90" s="285" t="s">
        <v>2490</v>
      </c>
      <c r="F90" s="286" t="s">
        <v>282</v>
      </c>
      <c r="G90" s="284">
        <v>240</v>
      </c>
      <c r="H90" s="284">
        <v>16</v>
      </c>
      <c r="I90" s="284">
        <v>0.95</v>
      </c>
      <c r="J90" s="287">
        <f>Y90*H90%*I90/G90*1000</f>
        <v>1817033.3333333333</v>
      </c>
      <c r="K90" s="288">
        <v>4.04</v>
      </c>
      <c r="L90" s="289">
        <f>(Y90*K90%)/G90*1000</f>
        <v>482948.3333333333</v>
      </c>
      <c r="M90" s="288">
        <v>5</v>
      </c>
      <c r="N90" s="289">
        <f>(Y90*M90%)/G90*1000</f>
        <v>597708.3333333334</v>
      </c>
      <c r="O90" s="290">
        <v>182.4</v>
      </c>
      <c r="P90" s="291" t="s">
        <v>1590</v>
      </c>
      <c r="Q90" s="288">
        <v>1.05</v>
      </c>
      <c r="R90" s="289">
        <f>O90*diezel*Q90</f>
        <v>3673702.1664</v>
      </c>
      <c r="S90" s="292" t="s">
        <v>261</v>
      </c>
      <c r="T90" s="296">
        <f>'Nhan cong'!M$38+'Nhan cong'!M$50</f>
        <v>357589.6153846154</v>
      </c>
      <c r="U90" s="250">
        <f>ROUND((J90+L90+N90+R90+T90),0)-2</f>
        <v>6928980</v>
      </c>
      <c r="V90" s="250">
        <v>6980066</v>
      </c>
      <c r="W90" s="250">
        <v>6928980</v>
      </c>
      <c r="X90" s="250">
        <v>6854056</v>
      </c>
      <c r="Y90" s="293">
        <v>2869000</v>
      </c>
      <c r="Z90" s="294">
        <v>-2</v>
      </c>
      <c r="AA90" s="251"/>
      <c r="AB90" s="251"/>
    </row>
    <row r="91" spans="1:28" s="295" customFormat="1" ht="15.75">
      <c r="A91" s="297"/>
      <c r="B91" s="284"/>
      <c r="C91" s="298"/>
      <c r="D91" s="284"/>
      <c r="E91" s="272"/>
      <c r="F91" s="151" t="s">
        <v>283</v>
      </c>
      <c r="G91" s="284"/>
      <c r="H91" s="284"/>
      <c r="I91" s="284"/>
      <c r="J91" s="299"/>
      <c r="K91" s="288"/>
      <c r="L91" s="289"/>
      <c r="M91" s="288"/>
      <c r="N91" s="300"/>
      <c r="O91" s="290"/>
      <c r="P91" s="291"/>
      <c r="Q91" s="288"/>
      <c r="R91" s="300"/>
      <c r="S91" s="292"/>
      <c r="T91" s="296"/>
      <c r="U91" s="250"/>
      <c r="V91" s="250"/>
      <c r="W91" s="250"/>
      <c r="X91" s="250"/>
      <c r="Y91" s="293"/>
      <c r="Z91" s="385"/>
      <c r="AA91" s="251"/>
      <c r="AB91" s="251"/>
    </row>
    <row r="92" spans="1:28" s="295" customFormat="1" ht="15.75">
      <c r="A92" s="284">
        <v>74</v>
      </c>
      <c r="B92" s="284">
        <v>0</v>
      </c>
      <c r="C92" s="284" t="s">
        <v>284</v>
      </c>
      <c r="D92" s="284" t="s">
        <v>3233</v>
      </c>
      <c r="E92" s="285" t="s">
        <v>2491</v>
      </c>
      <c r="F92" s="286" t="s">
        <v>285</v>
      </c>
      <c r="G92" s="284">
        <v>210</v>
      </c>
      <c r="H92" s="284">
        <v>18</v>
      </c>
      <c r="I92" s="284">
        <v>0.95</v>
      </c>
      <c r="J92" s="287">
        <f>Y92*H92%*I92/G92*1000</f>
        <v>536044.2857142857</v>
      </c>
      <c r="K92" s="288">
        <v>3.7</v>
      </c>
      <c r="L92" s="289">
        <f>(Y92*K92%)/G92*1000</f>
        <v>115986.19047619049</v>
      </c>
      <c r="M92" s="288">
        <v>5</v>
      </c>
      <c r="N92" s="289">
        <f>(Y92*M92%)/G92*1000</f>
        <v>156738.09523809524</v>
      </c>
      <c r="O92" s="290">
        <v>19.44</v>
      </c>
      <c r="P92" s="291" t="s">
        <v>1590</v>
      </c>
      <c r="Q92" s="288">
        <v>1.05</v>
      </c>
      <c r="R92" s="289">
        <f>O92*diezel*Q92</f>
        <v>391539.30984</v>
      </c>
      <c r="S92" s="292" t="s">
        <v>1591</v>
      </c>
      <c r="T92" s="289">
        <f>'Nhan cong'!$M$42</f>
        <v>145974.23076923078</v>
      </c>
      <c r="U92" s="250">
        <f>ROUND((J92+L92+N92+R92+T92),0)</f>
        <v>1346282</v>
      </c>
      <c r="V92" s="250">
        <v>1367136</v>
      </c>
      <c r="W92" s="250">
        <v>1346282</v>
      </c>
      <c r="X92" s="250">
        <v>1315697</v>
      </c>
      <c r="Y92" s="293">
        <v>658300</v>
      </c>
      <c r="Z92" s="294"/>
      <c r="AA92" s="251"/>
      <c r="AB92" s="251"/>
    </row>
    <row r="93" spans="1:28" s="295" customFormat="1" ht="15.75">
      <c r="A93" s="284">
        <v>75</v>
      </c>
      <c r="B93" s="284">
        <v>0</v>
      </c>
      <c r="C93" s="284" t="s">
        <v>286</v>
      </c>
      <c r="D93" s="284" t="s">
        <v>3234</v>
      </c>
      <c r="E93" s="285" t="s">
        <v>2492</v>
      </c>
      <c r="F93" s="286" t="s">
        <v>287</v>
      </c>
      <c r="G93" s="284">
        <v>210</v>
      </c>
      <c r="H93" s="284">
        <v>17</v>
      </c>
      <c r="I93" s="284">
        <v>0.95</v>
      </c>
      <c r="J93" s="287">
        <f>Y93*H93%*I93/G93*1000</f>
        <v>629850</v>
      </c>
      <c r="K93" s="288">
        <v>3.55</v>
      </c>
      <c r="L93" s="289">
        <f>(Y93*K93%)/G93*1000</f>
        <v>138450</v>
      </c>
      <c r="M93" s="288">
        <v>5</v>
      </c>
      <c r="N93" s="289">
        <f>(Y93*M93%)/G93*1000</f>
        <v>195000</v>
      </c>
      <c r="O93" s="290">
        <v>32.4</v>
      </c>
      <c r="P93" s="291" t="s">
        <v>1590</v>
      </c>
      <c r="Q93" s="288">
        <v>1.05</v>
      </c>
      <c r="R93" s="289">
        <f>O93*diezel*Q93</f>
        <v>652565.5164</v>
      </c>
      <c r="S93" s="292" t="s">
        <v>1591</v>
      </c>
      <c r="T93" s="289">
        <f>'Nhan cong'!$M$42</f>
        <v>145974.23076923078</v>
      </c>
      <c r="U93" s="250">
        <f>ROUND((J93+L93+N93+R93+T93),0)-1</f>
        <v>1761839</v>
      </c>
      <c r="V93" s="250">
        <v>1782693</v>
      </c>
      <c r="W93" s="250">
        <v>1761839</v>
      </c>
      <c r="X93" s="250">
        <v>1731254</v>
      </c>
      <c r="Y93" s="293">
        <v>819000</v>
      </c>
      <c r="Z93" s="294">
        <v>-1</v>
      </c>
      <c r="AA93" s="251"/>
      <c r="AB93" s="251"/>
    </row>
    <row r="94" spans="1:28" s="295" customFormat="1" ht="15.75">
      <c r="A94" s="284">
        <v>76</v>
      </c>
      <c r="B94" s="284" t="s">
        <v>641</v>
      </c>
      <c r="C94" s="284" t="s">
        <v>288</v>
      </c>
      <c r="D94" s="284" t="s">
        <v>3235</v>
      </c>
      <c r="E94" s="285" t="s">
        <v>2493</v>
      </c>
      <c r="F94" s="286" t="s">
        <v>245</v>
      </c>
      <c r="G94" s="284">
        <v>210</v>
      </c>
      <c r="H94" s="284">
        <v>17</v>
      </c>
      <c r="I94" s="284">
        <v>0.95</v>
      </c>
      <c r="J94" s="287">
        <f>Y94*H94%*I94/G94*1000</f>
        <v>686067.380952381</v>
      </c>
      <c r="K94" s="288">
        <v>3.55</v>
      </c>
      <c r="L94" s="289">
        <f>(Y94*K94%)/G94*1000</f>
        <v>150807.38095238092</v>
      </c>
      <c r="M94" s="288">
        <v>5</v>
      </c>
      <c r="N94" s="289">
        <f>(Y94*M94%)/G94*1000</f>
        <v>212404.7619047619</v>
      </c>
      <c r="O94" s="290">
        <v>38.88</v>
      </c>
      <c r="P94" s="291" t="s">
        <v>1590</v>
      </c>
      <c r="Q94" s="288">
        <v>1.05</v>
      </c>
      <c r="R94" s="289">
        <f>O94*diezel*Q94</f>
        <v>783078.61968</v>
      </c>
      <c r="S94" s="292" t="s">
        <v>1600</v>
      </c>
      <c r="T94" s="296">
        <f>'Nhan cong'!M$38+'Nhan cong'!M$46</f>
        <v>296019.23076923075</v>
      </c>
      <c r="U94" s="250">
        <f>ROUND((J94+L94+N94+R94+T94),0)</f>
        <v>2128377</v>
      </c>
      <c r="V94" s="250">
        <v>2170666</v>
      </c>
      <c r="W94" s="250">
        <v>2128377</v>
      </c>
      <c r="X94" s="250">
        <v>2066354</v>
      </c>
      <c r="Y94" s="293">
        <v>892100</v>
      </c>
      <c r="Z94" s="294"/>
      <c r="AA94" s="251"/>
      <c r="AB94" s="251"/>
    </row>
    <row r="95" spans="1:28" s="295" customFormat="1" ht="15.75">
      <c r="A95" s="284">
        <v>77</v>
      </c>
      <c r="B95" s="284">
        <v>0</v>
      </c>
      <c r="C95" s="284" t="s">
        <v>289</v>
      </c>
      <c r="D95" s="284" t="s">
        <v>3236</v>
      </c>
      <c r="E95" s="285" t="s">
        <v>2494</v>
      </c>
      <c r="F95" s="286" t="s">
        <v>253</v>
      </c>
      <c r="G95" s="284">
        <v>210</v>
      </c>
      <c r="H95" s="284">
        <v>16</v>
      </c>
      <c r="I95" s="284">
        <v>0.95</v>
      </c>
      <c r="J95" s="287">
        <f>Y95*H95%*I95/G95*1000</f>
        <v>1081733.3333333333</v>
      </c>
      <c r="K95" s="288">
        <v>3.08</v>
      </c>
      <c r="L95" s="289">
        <f>(Y95*K95%)/G95*1000</f>
        <v>219193.3333333333</v>
      </c>
      <c r="M95" s="288">
        <v>5</v>
      </c>
      <c r="N95" s="289">
        <f>(Y95*M95%)/G95*1000</f>
        <v>355833.3333333333</v>
      </c>
      <c r="O95" s="290">
        <v>54</v>
      </c>
      <c r="P95" s="291" t="s">
        <v>1590</v>
      </c>
      <c r="Q95" s="288">
        <v>1.05</v>
      </c>
      <c r="R95" s="289">
        <f>O95*diezel*Q95</f>
        <v>1087609.1940000001</v>
      </c>
      <c r="S95" s="292" t="s">
        <v>1600</v>
      </c>
      <c r="T95" s="296">
        <f>'Nhan cong'!M$38+'Nhan cong'!M$46</f>
        <v>296019.23076923075</v>
      </c>
      <c r="U95" s="250">
        <f>ROUND((J95+L95+N95+R95+T95),0)</f>
        <v>3040388</v>
      </c>
      <c r="V95" s="250">
        <v>3082677</v>
      </c>
      <c r="W95" s="250">
        <v>3040388</v>
      </c>
      <c r="X95" s="250">
        <v>2978365</v>
      </c>
      <c r="Y95" s="293">
        <v>1494500</v>
      </c>
      <c r="Z95" s="294"/>
      <c r="AA95" s="251"/>
      <c r="AB95" s="251"/>
    </row>
    <row r="96" spans="1:28" s="295" customFormat="1" ht="15.75">
      <c r="A96" s="284">
        <v>78</v>
      </c>
      <c r="B96" s="284">
        <v>0</v>
      </c>
      <c r="C96" s="284" t="s">
        <v>290</v>
      </c>
      <c r="D96" s="284" t="s">
        <v>3237</v>
      </c>
      <c r="E96" s="285" t="s">
        <v>2495</v>
      </c>
      <c r="F96" s="286" t="s">
        <v>255</v>
      </c>
      <c r="G96" s="284">
        <v>210</v>
      </c>
      <c r="H96" s="284">
        <v>16</v>
      </c>
      <c r="I96" s="284">
        <v>0.95</v>
      </c>
      <c r="J96" s="287">
        <f>Y96*H96%*I96/G96*1000</f>
        <v>1362426.6666666665</v>
      </c>
      <c r="K96" s="288">
        <v>3.08</v>
      </c>
      <c r="L96" s="289">
        <f>(Y96*K96%)/G96*1000</f>
        <v>276070.6666666667</v>
      </c>
      <c r="M96" s="288">
        <v>5</v>
      </c>
      <c r="N96" s="289">
        <f>(Y96*M96%)/G96*1000</f>
        <v>448166.6666666667</v>
      </c>
      <c r="O96" s="290">
        <v>75</v>
      </c>
      <c r="P96" s="291" t="s">
        <v>1590</v>
      </c>
      <c r="Q96" s="288">
        <v>1.05</v>
      </c>
      <c r="R96" s="289">
        <f>O96*diezel*Q96</f>
        <v>1510568.325</v>
      </c>
      <c r="S96" s="292" t="s">
        <v>256</v>
      </c>
      <c r="T96" s="296">
        <f>'Nhan cong'!M$38+'Nhan cong'!M$49</f>
        <v>324005.76923076925</v>
      </c>
      <c r="U96" s="250">
        <f>ROUND((J96+L96+N96+R96+T96),0)</f>
        <v>3921238</v>
      </c>
      <c r="V96" s="250">
        <v>3967524</v>
      </c>
      <c r="W96" s="250">
        <v>3921238</v>
      </c>
      <c r="X96" s="250">
        <v>3853351</v>
      </c>
      <c r="Y96" s="293">
        <v>1882300</v>
      </c>
      <c r="Z96" s="294">
        <v>-1</v>
      </c>
      <c r="AA96" s="251"/>
      <c r="AB96" s="251"/>
    </row>
    <row r="97" spans="1:28" s="295" customFormat="1" ht="15.75">
      <c r="A97" s="297"/>
      <c r="B97" s="284"/>
      <c r="C97" s="298"/>
      <c r="D97" s="284"/>
      <c r="E97" s="272"/>
      <c r="F97" s="151" t="s">
        <v>291</v>
      </c>
      <c r="G97" s="284"/>
      <c r="H97" s="284"/>
      <c r="I97" s="284"/>
      <c r="J97" s="299"/>
      <c r="K97" s="288"/>
      <c r="L97" s="289"/>
      <c r="M97" s="288"/>
      <c r="N97" s="300"/>
      <c r="O97" s="290"/>
      <c r="P97" s="291"/>
      <c r="Q97" s="288"/>
      <c r="R97" s="300"/>
      <c r="S97" s="292"/>
      <c r="T97" s="296"/>
      <c r="U97" s="250"/>
      <c r="V97" s="250"/>
      <c r="W97" s="250"/>
      <c r="X97" s="250"/>
      <c r="Y97" s="293"/>
      <c r="Z97" s="385"/>
      <c r="AA97" s="251"/>
      <c r="AB97" s="251"/>
    </row>
    <row r="98" spans="1:28" s="295" customFormat="1" ht="15.75">
      <c r="A98" s="284">
        <v>79</v>
      </c>
      <c r="B98" s="284" t="s">
        <v>3810</v>
      </c>
      <c r="C98" s="284" t="s">
        <v>292</v>
      </c>
      <c r="D98" s="284" t="s">
        <v>3238</v>
      </c>
      <c r="E98" s="285" t="s">
        <v>2496</v>
      </c>
      <c r="F98" s="286" t="s">
        <v>293</v>
      </c>
      <c r="G98" s="284">
        <v>150</v>
      </c>
      <c r="H98" s="284">
        <v>20</v>
      </c>
      <c r="I98" s="284">
        <v>1</v>
      </c>
      <c r="J98" s="287">
        <f>Y98*H98%*I98/G98*1000</f>
        <v>30800</v>
      </c>
      <c r="K98" s="288">
        <v>5.4</v>
      </c>
      <c r="L98" s="289">
        <f>(Y98*K98%)/G98*1000</f>
        <v>8316</v>
      </c>
      <c r="M98" s="288">
        <v>4</v>
      </c>
      <c r="N98" s="289">
        <f>(Y98*M98%)/G98*1000</f>
        <v>6160</v>
      </c>
      <c r="O98" s="290">
        <v>3.06</v>
      </c>
      <c r="P98" s="291" t="s">
        <v>294</v>
      </c>
      <c r="Q98" s="288">
        <v>1.03</v>
      </c>
      <c r="R98" s="289">
        <f>O98*xang*Q98</f>
        <v>61030.320552000005</v>
      </c>
      <c r="S98" s="292" t="s">
        <v>295</v>
      </c>
      <c r="T98" s="296">
        <f>'Nhan cong'!M$38</f>
        <v>125620.38461538461</v>
      </c>
      <c r="U98" s="250">
        <f>ROUND((J98+L98+N98+R98+T98),0)</f>
        <v>231927</v>
      </c>
      <c r="V98" s="250">
        <v>248332</v>
      </c>
      <c r="W98" s="250">
        <v>230386</v>
      </c>
      <c r="X98" s="250">
        <v>204066</v>
      </c>
      <c r="Y98" s="293">
        <v>23100</v>
      </c>
      <c r="Z98" s="294"/>
      <c r="AA98" s="251"/>
      <c r="AB98" s="251">
        <v>230386</v>
      </c>
    </row>
    <row r="99" spans="1:28" s="295" customFormat="1" ht="15.75">
      <c r="A99" s="284">
        <v>80</v>
      </c>
      <c r="B99" s="284">
        <v>0</v>
      </c>
      <c r="C99" s="284" t="s">
        <v>296</v>
      </c>
      <c r="D99" s="284" t="s">
        <v>3239</v>
      </c>
      <c r="E99" s="285" t="s">
        <v>2497</v>
      </c>
      <c r="F99" s="286" t="s">
        <v>297</v>
      </c>
      <c r="G99" s="284">
        <v>150</v>
      </c>
      <c r="H99" s="284">
        <v>20</v>
      </c>
      <c r="I99" s="284">
        <v>1</v>
      </c>
      <c r="J99" s="287">
        <f>Y99*H99%*I99/G99*1000</f>
        <v>38533.33333333333</v>
      </c>
      <c r="K99" s="288">
        <v>5.4</v>
      </c>
      <c r="L99" s="289">
        <f>(Y99*K99%)/G99*1000</f>
        <v>10404.000000000002</v>
      </c>
      <c r="M99" s="288">
        <v>4</v>
      </c>
      <c r="N99" s="289">
        <f>(Y99*M99%)/G99*1000</f>
        <v>7706.666666666667</v>
      </c>
      <c r="O99" s="290">
        <v>3.57</v>
      </c>
      <c r="P99" s="291" t="s">
        <v>294</v>
      </c>
      <c r="Q99" s="288">
        <v>1.03</v>
      </c>
      <c r="R99" s="289">
        <f>O99*xang*Q99</f>
        <v>71202.040644</v>
      </c>
      <c r="S99" s="292" t="s">
        <v>295</v>
      </c>
      <c r="T99" s="296">
        <f>'Nhan cong'!M$38</f>
        <v>125620.38461538461</v>
      </c>
      <c r="U99" s="250">
        <f>ROUND((J99+L99+N99+R99+T99),0)</f>
        <v>253466</v>
      </c>
      <c r="V99" s="250">
        <v>269485</v>
      </c>
      <c r="W99" s="250">
        <v>251539</v>
      </c>
      <c r="X99" s="250">
        <v>225219</v>
      </c>
      <c r="Y99" s="293">
        <v>28900</v>
      </c>
      <c r="Z99" s="294"/>
      <c r="AA99" s="251"/>
      <c r="AB99" s="251">
        <v>251539</v>
      </c>
    </row>
    <row r="100" spans="1:28" s="295" customFormat="1" ht="15.75">
      <c r="A100" s="284">
        <v>81</v>
      </c>
      <c r="B100" s="284">
        <v>0</v>
      </c>
      <c r="C100" s="284" t="s">
        <v>298</v>
      </c>
      <c r="D100" s="284" t="s">
        <v>3189</v>
      </c>
      <c r="E100" s="285" t="s">
        <v>2498</v>
      </c>
      <c r="F100" s="286" t="s">
        <v>299</v>
      </c>
      <c r="G100" s="284">
        <v>150</v>
      </c>
      <c r="H100" s="284">
        <v>20</v>
      </c>
      <c r="I100" s="284">
        <v>1</v>
      </c>
      <c r="J100" s="287">
        <f>Y100*H100%*I100/G100*1000</f>
        <v>41600</v>
      </c>
      <c r="K100" s="288">
        <v>5.4</v>
      </c>
      <c r="L100" s="289">
        <f>(Y100*K100%)/G100*1000</f>
        <v>11232.000000000002</v>
      </c>
      <c r="M100" s="288">
        <v>4</v>
      </c>
      <c r="N100" s="289">
        <f>(Y100*M100%)/G100*1000</f>
        <v>8320</v>
      </c>
      <c r="O100" s="290">
        <v>4.08</v>
      </c>
      <c r="P100" s="291" t="s">
        <v>294</v>
      </c>
      <c r="Q100" s="288">
        <v>1.03</v>
      </c>
      <c r="R100" s="289">
        <f>O100*xang*Q100</f>
        <v>81373.760736</v>
      </c>
      <c r="S100" s="292" t="s">
        <v>295</v>
      </c>
      <c r="T100" s="296">
        <f>'Nhan cong'!M$38</f>
        <v>125620.38461538461</v>
      </c>
      <c r="U100" s="250">
        <f>ROUND((J100+L100+N100+R100+T100),0)</f>
        <v>268146</v>
      </c>
      <c r="V100" s="250">
        <v>284012</v>
      </c>
      <c r="W100" s="250">
        <v>266066</v>
      </c>
      <c r="X100" s="250">
        <v>239746</v>
      </c>
      <c r="Y100" s="293">
        <v>31200</v>
      </c>
      <c r="Z100" s="294"/>
      <c r="AA100" s="251"/>
      <c r="AB100" s="251">
        <v>266066</v>
      </c>
    </row>
    <row r="101" spans="1:28" s="295" customFormat="1" ht="15.75">
      <c r="A101" s="284">
        <v>82</v>
      </c>
      <c r="B101" s="284">
        <v>0</v>
      </c>
      <c r="C101" s="284" t="s">
        <v>300</v>
      </c>
      <c r="D101" s="284" t="s">
        <v>3240</v>
      </c>
      <c r="E101" s="285" t="s">
        <v>2499</v>
      </c>
      <c r="F101" s="286" t="s">
        <v>301</v>
      </c>
      <c r="G101" s="284">
        <v>150</v>
      </c>
      <c r="H101" s="284">
        <v>20</v>
      </c>
      <c r="I101" s="284">
        <v>1</v>
      </c>
      <c r="J101" s="287">
        <f>Y101*H101%*I101/G101*1000</f>
        <v>43800</v>
      </c>
      <c r="K101" s="288">
        <v>5.4</v>
      </c>
      <c r="L101" s="289">
        <f>(Y101*K101%)/G101*1000</f>
        <v>11826.000000000002</v>
      </c>
      <c r="M101" s="288">
        <v>4</v>
      </c>
      <c r="N101" s="289">
        <f>(Y101*M101%)/G101*1000</f>
        <v>8760</v>
      </c>
      <c r="O101" s="290">
        <v>4.59</v>
      </c>
      <c r="P101" s="291" t="s">
        <v>294</v>
      </c>
      <c r="Q101" s="288">
        <v>1.03</v>
      </c>
      <c r="R101" s="289">
        <f>O101*xang*Q101</f>
        <v>91545.48082799999</v>
      </c>
      <c r="S101" s="292" t="s">
        <v>295</v>
      </c>
      <c r="T101" s="296">
        <f>'Nhan cong'!M$38</f>
        <v>125620.38461538461</v>
      </c>
      <c r="U101" s="250">
        <f>ROUND((J101+L101+N101+R101+T101),0)</f>
        <v>281552</v>
      </c>
      <c r="V101" s="250">
        <v>297307</v>
      </c>
      <c r="W101" s="250">
        <v>279361</v>
      </c>
      <c r="X101" s="250">
        <v>253041</v>
      </c>
      <c r="Y101" s="293">
        <v>32850</v>
      </c>
      <c r="Z101" s="294"/>
      <c r="AA101" s="251"/>
      <c r="AB101" s="251">
        <v>279361</v>
      </c>
    </row>
    <row r="102" spans="1:28" s="295" customFormat="1" ht="15.75">
      <c r="A102" s="297"/>
      <c r="B102" s="284"/>
      <c r="C102" s="298"/>
      <c r="D102" s="284"/>
      <c r="E102" s="272"/>
      <c r="F102" s="151" t="s">
        <v>302</v>
      </c>
      <c r="G102" s="284"/>
      <c r="H102" s="284"/>
      <c r="I102" s="284"/>
      <c r="J102" s="299"/>
      <c r="K102" s="288"/>
      <c r="L102" s="289"/>
      <c r="M102" s="288"/>
      <c r="N102" s="300"/>
      <c r="O102" s="290"/>
      <c r="P102" s="291"/>
      <c r="Q102" s="288"/>
      <c r="R102" s="300"/>
      <c r="S102" s="292"/>
      <c r="T102" s="296"/>
      <c r="U102" s="250"/>
      <c r="V102" s="250"/>
      <c r="W102" s="250"/>
      <c r="X102" s="250"/>
      <c r="Y102" s="293"/>
      <c r="Z102" s="385"/>
      <c r="AA102" s="251"/>
      <c r="AB102" s="251"/>
    </row>
    <row r="103" spans="1:28" s="295" customFormat="1" ht="15.75">
      <c r="A103" s="284">
        <v>83</v>
      </c>
      <c r="B103" s="284">
        <v>0</v>
      </c>
      <c r="C103" s="284" t="s">
        <v>303</v>
      </c>
      <c r="D103" s="284" t="s">
        <v>3241</v>
      </c>
      <c r="E103" s="285" t="s">
        <v>2500</v>
      </c>
      <c r="F103" s="286" t="s">
        <v>304</v>
      </c>
      <c r="G103" s="284">
        <v>230</v>
      </c>
      <c r="H103" s="284">
        <v>18</v>
      </c>
      <c r="I103" s="284">
        <v>0.95</v>
      </c>
      <c r="J103" s="287">
        <f>Y103*H103%*I103/G103*1000</f>
        <v>243266.08695652173</v>
      </c>
      <c r="K103" s="288">
        <v>4.86</v>
      </c>
      <c r="L103" s="289">
        <f>(Y103*K103%)/G103*1000</f>
        <v>69138.78260869566</v>
      </c>
      <c r="M103" s="288">
        <v>5</v>
      </c>
      <c r="N103" s="289">
        <f>(Y103*M103%)/G103*1000</f>
        <v>71130.4347826087</v>
      </c>
      <c r="O103" s="290">
        <v>36</v>
      </c>
      <c r="P103" s="291" t="s">
        <v>1590</v>
      </c>
      <c r="Q103" s="288">
        <v>1.05</v>
      </c>
      <c r="R103" s="289">
        <f>O103*diezel*Q103</f>
        <v>725072.7960000001</v>
      </c>
      <c r="S103" s="292" t="s">
        <v>1591</v>
      </c>
      <c r="T103" s="289">
        <f>'Nhan cong'!$M$42</f>
        <v>145974.23076923078</v>
      </c>
      <c r="U103" s="250">
        <f>ROUND((J103+L103+N103+R103+T103),0)</f>
        <v>1254582</v>
      </c>
      <c r="V103" s="250">
        <v>1275436</v>
      </c>
      <c r="W103" s="250">
        <v>1254582</v>
      </c>
      <c r="X103" s="250">
        <v>1223997</v>
      </c>
      <c r="Y103" s="293">
        <v>327200</v>
      </c>
      <c r="Z103" s="294"/>
      <c r="AA103" s="251"/>
      <c r="AB103" s="251"/>
    </row>
    <row r="104" spans="1:28" s="295" customFormat="1" ht="15.75">
      <c r="A104" s="284">
        <v>84</v>
      </c>
      <c r="B104" s="284">
        <v>0</v>
      </c>
      <c r="C104" s="284" t="s">
        <v>305</v>
      </c>
      <c r="D104" s="284" t="s">
        <v>3242</v>
      </c>
      <c r="E104" s="285" t="s">
        <v>2501</v>
      </c>
      <c r="F104" s="286" t="s">
        <v>306</v>
      </c>
      <c r="G104" s="284">
        <v>230</v>
      </c>
      <c r="H104" s="284">
        <v>18</v>
      </c>
      <c r="I104" s="284">
        <v>0.95</v>
      </c>
      <c r="J104" s="287">
        <f>Y104*H104%*I104/G104*1000</f>
        <v>252410.86956521738</v>
      </c>
      <c r="K104" s="288">
        <v>4.86</v>
      </c>
      <c r="L104" s="289">
        <f>(Y104*K104%)/G104*1000</f>
        <v>71737.82608695653</v>
      </c>
      <c r="M104" s="288">
        <v>5</v>
      </c>
      <c r="N104" s="289">
        <f>(Y104*M104%)/G104*1000</f>
        <v>73804.34782608696</v>
      </c>
      <c r="O104" s="290">
        <v>38.4</v>
      </c>
      <c r="P104" s="291" t="s">
        <v>1590</v>
      </c>
      <c r="Q104" s="288">
        <v>1.05</v>
      </c>
      <c r="R104" s="289">
        <f>O104*diezel*Q104</f>
        <v>773410.9824</v>
      </c>
      <c r="S104" s="292" t="s">
        <v>1591</v>
      </c>
      <c r="T104" s="289">
        <f>'Nhan cong'!$M$42</f>
        <v>145974.23076923078</v>
      </c>
      <c r="U104" s="250">
        <f>ROUND((J104+L104+N104+R104+T104),0)</f>
        <v>1317338</v>
      </c>
      <c r="V104" s="250">
        <v>1338192</v>
      </c>
      <c r="W104" s="250">
        <v>1317338</v>
      </c>
      <c r="X104" s="250">
        <v>1286753</v>
      </c>
      <c r="Y104" s="293">
        <v>339500</v>
      </c>
      <c r="Z104" s="294"/>
      <c r="AA104" s="251"/>
      <c r="AB104" s="251"/>
    </row>
    <row r="105" spans="1:28" s="295" customFormat="1" ht="15.75">
      <c r="A105" s="284">
        <v>85</v>
      </c>
      <c r="B105" s="284">
        <v>0</v>
      </c>
      <c r="C105" s="284" t="s">
        <v>307</v>
      </c>
      <c r="D105" s="284" t="s">
        <v>3243</v>
      </c>
      <c r="E105" s="285" t="s">
        <v>2502</v>
      </c>
      <c r="F105" s="286" t="s">
        <v>308</v>
      </c>
      <c r="G105" s="284">
        <v>230</v>
      </c>
      <c r="H105" s="284">
        <v>18</v>
      </c>
      <c r="I105" s="284">
        <v>0.95</v>
      </c>
      <c r="J105" s="287">
        <f>Y105*H105%*I105/G105*1000</f>
        <v>314342.60869565216</v>
      </c>
      <c r="K105" s="288">
        <v>4.86</v>
      </c>
      <c r="L105" s="289">
        <f>(Y105*K105%)/G105*1000</f>
        <v>89339.47826086957</v>
      </c>
      <c r="M105" s="288">
        <v>5</v>
      </c>
      <c r="N105" s="289">
        <f>(Y105*M105%)/G105*1000</f>
        <v>91913.04347826088</v>
      </c>
      <c r="O105" s="290">
        <v>46.2</v>
      </c>
      <c r="P105" s="291" t="s">
        <v>1590</v>
      </c>
      <c r="Q105" s="288">
        <v>1.05</v>
      </c>
      <c r="R105" s="289">
        <f>O105*diezel*Q105</f>
        <v>930510.0882000001</v>
      </c>
      <c r="S105" s="292" t="s">
        <v>1591</v>
      </c>
      <c r="T105" s="289">
        <f>'Nhan cong'!$M$42</f>
        <v>145974.23076923078</v>
      </c>
      <c r="U105" s="250">
        <f>ROUND((J105+L105+N105+R105+T105),0)</f>
        <v>1572079</v>
      </c>
      <c r="V105" s="250">
        <v>1592933</v>
      </c>
      <c r="W105" s="250">
        <v>1572079</v>
      </c>
      <c r="X105" s="250">
        <v>1541494</v>
      </c>
      <c r="Y105" s="293">
        <v>422800</v>
      </c>
      <c r="Z105" s="294"/>
      <c r="AA105" s="251"/>
      <c r="AB105" s="251"/>
    </row>
    <row r="106" spans="1:28" s="295" customFormat="1" ht="15.75">
      <c r="A106" s="284">
        <v>86</v>
      </c>
      <c r="B106" s="284">
        <v>0</v>
      </c>
      <c r="C106" s="284" t="s">
        <v>309</v>
      </c>
      <c r="D106" s="284" t="s">
        <v>3244</v>
      </c>
      <c r="E106" s="285" t="s">
        <v>2503</v>
      </c>
      <c r="F106" s="286" t="s">
        <v>310</v>
      </c>
      <c r="G106" s="284">
        <v>230</v>
      </c>
      <c r="H106" s="284">
        <v>17</v>
      </c>
      <c r="I106" s="284">
        <v>0.95</v>
      </c>
      <c r="J106" s="287">
        <f>Y106*H106%*I106/G106*1000</f>
        <v>402766.95652173914</v>
      </c>
      <c r="K106" s="288">
        <v>4.59</v>
      </c>
      <c r="L106" s="289">
        <f>(Y106*K106%)/G106*1000</f>
        <v>114470.60869565216</v>
      </c>
      <c r="M106" s="288">
        <v>5</v>
      </c>
      <c r="N106" s="289">
        <f>(Y106*M106%)/G106*1000</f>
        <v>124695.65217391304</v>
      </c>
      <c r="O106" s="290">
        <v>54.6</v>
      </c>
      <c r="P106" s="291" t="s">
        <v>1590</v>
      </c>
      <c r="Q106" s="288">
        <v>1.05</v>
      </c>
      <c r="R106" s="289">
        <f>O106*diezel*Q106</f>
        <v>1099693.7406000001</v>
      </c>
      <c r="S106" s="292" t="s">
        <v>311</v>
      </c>
      <c r="T106" s="296">
        <f>'Nhan cong'!M$46</f>
        <v>170398.84615384616</v>
      </c>
      <c r="U106" s="250">
        <f>ROUND((J106+L106+N106+R106+T106),0)-1</f>
        <v>1912025</v>
      </c>
      <c r="V106" s="250">
        <v>1936369</v>
      </c>
      <c r="W106" s="250">
        <v>1912025</v>
      </c>
      <c r="X106" s="250">
        <v>1876323</v>
      </c>
      <c r="Y106" s="293">
        <v>573600</v>
      </c>
      <c r="Z106" s="294">
        <v>-1</v>
      </c>
      <c r="AA106" s="251"/>
      <c r="AB106" s="251"/>
    </row>
    <row r="107" spans="1:28" s="295" customFormat="1" ht="15.75">
      <c r="A107" s="284">
        <v>87</v>
      </c>
      <c r="B107" s="284">
        <v>0</v>
      </c>
      <c r="C107" s="284" t="s">
        <v>312</v>
      </c>
      <c r="D107" s="284" t="s">
        <v>3245</v>
      </c>
      <c r="E107" s="285" t="s">
        <v>2504</v>
      </c>
      <c r="F107" s="286" t="s">
        <v>313</v>
      </c>
      <c r="G107" s="284">
        <v>230</v>
      </c>
      <c r="H107" s="284">
        <v>17</v>
      </c>
      <c r="I107" s="284">
        <v>0.95</v>
      </c>
      <c r="J107" s="287">
        <f>Y107*H107%*I107/G107*1000</f>
        <v>424674.7826086957</v>
      </c>
      <c r="K107" s="288">
        <v>4.59</v>
      </c>
      <c r="L107" s="289">
        <f>(Y107*K107%)/G107*1000</f>
        <v>120697.04347826085</v>
      </c>
      <c r="M107" s="288">
        <v>5</v>
      </c>
      <c r="N107" s="289">
        <f>(Y107*M107%)/G107*1000</f>
        <v>131478.26086956522</v>
      </c>
      <c r="O107" s="290">
        <v>63</v>
      </c>
      <c r="P107" s="291" t="s">
        <v>1590</v>
      </c>
      <c r="Q107" s="288">
        <v>1.05</v>
      </c>
      <c r="R107" s="289">
        <f>O107*diezel*Q107</f>
        <v>1268877.393</v>
      </c>
      <c r="S107" s="292" t="s">
        <v>311</v>
      </c>
      <c r="T107" s="296">
        <f>'Nhan cong'!M$46</f>
        <v>170398.84615384616</v>
      </c>
      <c r="U107" s="250">
        <f>ROUND((J107+L107+N107+R107+T107),0)</f>
        <v>2116126</v>
      </c>
      <c r="V107" s="250">
        <v>2140469</v>
      </c>
      <c r="W107" s="250">
        <v>2116126</v>
      </c>
      <c r="X107" s="250">
        <v>2080423</v>
      </c>
      <c r="Y107" s="293">
        <v>604800</v>
      </c>
      <c r="Z107" s="294"/>
      <c r="AA107" s="251"/>
      <c r="AB107" s="251"/>
    </row>
    <row r="108" spans="1:28" s="295" customFormat="1" ht="15.75">
      <c r="A108" s="297"/>
      <c r="B108" s="284"/>
      <c r="C108" s="298"/>
      <c r="D108" s="284"/>
      <c r="E108" s="272"/>
      <c r="F108" s="151" t="s">
        <v>314</v>
      </c>
      <c r="G108" s="284"/>
      <c r="H108" s="284"/>
      <c r="I108" s="284"/>
      <c r="J108" s="299"/>
      <c r="K108" s="288"/>
      <c r="L108" s="289"/>
      <c r="M108" s="288"/>
      <c r="N108" s="300"/>
      <c r="O108" s="290"/>
      <c r="P108" s="291"/>
      <c r="Q108" s="288"/>
      <c r="R108" s="300"/>
      <c r="S108" s="292"/>
      <c r="T108" s="296"/>
      <c r="U108" s="250"/>
      <c r="V108" s="250"/>
      <c r="W108" s="250"/>
      <c r="X108" s="250"/>
      <c r="Y108" s="293"/>
      <c r="Z108" s="385"/>
      <c r="AA108" s="251"/>
      <c r="AB108" s="251"/>
    </row>
    <row r="109" spans="1:28" s="295" customFormat="1" ht="15.75">
      <c r="A109" s="284">
        <v>88</v>
      </c>
      <c r="B109" s="284" t="s">
        <v>588</v>
      </c>
      <c r="C109" s="284" t="s">
        <v>315</v>
      </c>
      <c r="D109" s="284" t="s">
        <v>3246</v>
      </c>
      <c r="E109" s="285" t="s">
        <v>2505</v>
      </c>
      <c r="F109" s="286" t="s">
        <v>316</v>
      </c>
      <c r="G109" s="284">
        <v>230</v>
      </c>
      <c r="H109" s="284">
        <v>18</v>
      </c>
      <c r="I109" s="284">
        <v>0.95</v>
      </c>
      <c r="J109" s="287">
        <f>Y109*H109%*I109/G109*1000</f>
        <v>396645.652173913</v>
      </c>
      <c r="K109" s="301">
        <v>4.32</v>
      </c>
      <c r="L109" s="289">
        <f>(Y109*K109%)/G109*1000</f>
        <v>100205.21739130435</v>
      </c>
      <c r="M109" s="301">
        <v>5</v>
      </c>
      <c r="N109" s="289">
        <f>(Y109*M109%)/G109*1000</f>
        <v>115978.26086956522</v>
      </c>
      <c r="O109" s="302">
        <v>34</v>
      </c>
      <c r="P109" s="272" t="s">
        <v>1590</v>
      </c>
      <c r="Q109" s="288">
        <v>1.05</v>
      </c>
      <c r="R109" s="289">
        <f>O109*diezel*Q109</f>
        <v>684790.974</v>
      </c>
      <c r="S109" s="284" t="s">
        <v>311</v>
      </c>
      <c r="T109" s="296">
        <f>Nii5</f>
        <v>170398.84615384616</v>
      </c>
      <c r="U109" s="250">
        <f>ROUND((J109+L109+N109+R109+T109),0)</f>
        <v>1468019</v>
      </c>
      <c r="V109" s="250">
        <v>1492362</v>
      </c>
      <c r="W109" s="250">
        <v>1468019</v>
      </c>
      <c r="X109" s="250">
        <v>1432316</v>
      </c>
      <c r="Y109" s="293">
        <v>533500</v>
      </c>
      <c r="Z109" s="294"/>
      <c r="AA109" s="251"/>
      <c r="AB109" s="251"/>
    </row>
    <row r="110" spans="1:28" s="295" customFormat="1" ht="15.75">
      <c r="A110" s="284">
        <v>89</v>
      </c>
      <c r="B110" s="284" t="s">
        <v>621</v>
      </c>
      <c r="C110" s="284" t="s">
        <v>317</v>
      </c>
      <c r="D110" s="284" t="s">
        <v>3247</v>
      </c>
      <c r="E110" s="285" t="s">
        <v>2506</v>
      </c>
      <c r="F110" s="286" t="s">
        <v>318</v>
      </c>
      <c r="G110" s="284">
        <v>230</v>
      </c>
      <c r="H110" s="284">
        <v>18</v>
      </c>
      <c r="I110" s="284">
        <v>0.95</v>
      </c>
      <c r="J110" s="287">
        <f>Y110*H110%*I110/G110*1000</f>
        <v>450696.52173913043</v>
      </c>
      <c r="K110" s="288">
        <v>4.32</v>
      </c>
      <c r="L110" s="289">
        <f>(Y110*K110%)/G110*1000</f>
        <v>113860.17391304349</v>
      </c>
      <c r="M110" s="288">
        <v>5</v>
      </c>
      <c r="N110" s="289">
        <f>(Y110*M110%)/G110*1000</f>
        <v>131782.6086956522</v>
      </c>
      <c r="O110" s="290">
        <v>37.8</v>
      </c>
      <c r="P110" s="291" t="s">
        <v>1590</v>
      </c>
      <c r="Q110" s="288">
        <v>1.05</v>
      </c>
      <c r="R110" s="289">
        <f>O110*diezel*Q110</f>
        <v>761326.4358</v>
      </c>
      <c r="S110" s="292" t="s">
        <v>311</v>
      </c>
      <c r="T110" s="296">
        <f>'Nhan cong'!M$46</f>
        <v>170398.84615384616</v>
      </c>
      <c r="U110" s="250">
        <f>ROUND((J110+L110+N110+R110+T110),0)-1</f>
        <v>1628064</v>
      </c>
      <c r="V110" s="250">
        <v>1652408</v>
      </c>
      <c r="W110" s="250">
        <v>1628064</v>
      </c>
      <c r="X110" s="250">
        <v>1592362</v>
      </c>
      <c r="Y110" s="293">
        <v>606200</v>
      </c>
      <c r="Z110" s="294">
        <v>1</v>
      </c>
      <c r="AA110" s="251"/>
      <c r="AB110" s="251"/>
    </row>
    <row r="111" spans="1:28" s="295" customFormat="1" ht="15.75">
      <c r="A111" s="284">
        <v>90</v>
      </c>
      <c r="B111" s="284" t="s">
        <v>586</v>
      </c>
      <c r="C111" s="284" t="s">
        <v>319</v>
      </c>
      <c r="D111" s="284" t="s">
        <v>3248</v>
      </c>
      <c r="E111" s="285" t="s">
        <v>2507</v>
      </c>
      <c r="F111" s="286" t="s">
        <v>320</v>
      </c>
      <c r="G111" s="284">
        <v>230</v>
      </c>
      <c r="H111" s="284">
        <v>18</v>
      </c>
      <c r="I111" s="284">
        <v>0.95</v>
      </c>
      <c r="J111" s="287">
        <f>Y111*H111%*I111/G111*1000</f>
        <v>496717.8260869565</v>
      </c>
      <c r="K111" s="288">
        <v>4.32</v>
      </c>
      <c r="L111" s="289">
        <f>(Y111*K111%)/G111*1000</f>
        <v>125486.60869565218</v>
      </c>
      <c r="M111" s="288">
        <v>5</v>
      </c>
      <c r="N111" s="289">
        <f>(Y111*M111%)/G111*1000</f>
        <v>145239.1304347826</v>
      </c>
      <c r="O111" s="290">
        <v>42</v>
      </c>
      <c r="P111" s="291" t="s">
        <v>1590</v>
      </c>
      <c r="Q111" s="288">
        <v>1.05</v>
      </c>
      <c r="R111" s="289">
        <f>O111*diezel*Q111</f>
        <v>845918.262</v>
      </c>
      <c r="S111" s="292" t="s">
        <v>311</v>
      </c>
      <c r="T111" s="296">
        <f>'Nhan cong'!M$46</f>
        <v>170398.84615384616</v>
      </c>
      <c r="U111" s="250">
        <f>ROUND((J111+L111+N111+R111+T111),0)-1</f>
        <v>1783760</v>
      </c>
      <c r="V111" s="250">
        <v>1808104</v>
      </c>
      <c r="W111" s="250">
        <v>1783760</v>
      </c>
      <c r="X111" s="250">
        <v>1748058</v>
      </c>
      <c r="Y111" s="293">
        <v>668100</v>
      </c>
      <c r="Z111" s="294">
        <v>-1</v>
      </c>
      <c r="AA111" s="251"/>
      <c r="AB111" s="251"/>
    </row>
    <row r="112" spans="1:28" s="295" customFormat="1" ht="15.75">
      <c r="A112" s="284">
        <v>91</v>
      </c>
      <c r="B112" s="284" t="s">
        <v>587</v>
      </c>
      <c r="C112" s="284" t="s">
        <v>321</v>
      </c>
      <c r="D112" s="284" t="s">
        <v>3249</v>
      </c>
      <c r="E112" s="285" t="s">
        <v>2508</v>
      </c>
      <c r="F112" s="286" t="s">
        <v>310</v>
      </c>
      <c r="G112" s="284">
        <v>230</v>
      </c>
      <c r="H112" s="284">
        <v>17</v>
      </c>
      <c r="I112" s="284">
        <v>0.95</v>
      </c>
      <c r="J112" s="287">
        <f>Y112*H112%*I112/G112*1000</f>
        <v>534986.3043478262</v>
      </c>
      <c r="K112" s="288">
        <v>4.08</v>
      </c>
      <c r="L112" s="289">
        <f>(Y112*K112%)/G112*1000</f>
        <v>135154.4347826087</v>
      </c>
      <c r="M112" s="288">
        <v>5</v>
      </c>
      <c r="N112" s="289">
        <f>(Y112*M112%)/G112*1000</f>
        <v>165630.43478260867</v>
      </c>
      <c r="O112" s="290">
        <v>54.6</v>
      </c>
      <c r="P112" s="291" t="s">
        <v>1590</v>
      </c>
      <c r="Q112" s="288">
        <v>1.05</v>
      </c>
      <c r="R112" s="289">
        <f>O112*diezel*Q112</f>
        <v>1099693.7406000001</v>
      </c>
      <c r="S112" s="292" t="s">
        <v>311</v>
      </c>
      <c r="T112" s="296">
        <f>'Nhan cong'!M$46</f>
        <v>170398.84615384616</v>
      </c>
      <c r="U112" s="250">
        <f>ROUND((J112+L112+N112+R112+T112),0)-1</f>
        <v>2105863</v>
      </c>
      <c r="V112" s="250">
        <v>2130207</v>
      </c>
      <c r="W112" s="250">
        <v>2105863</v>
      </c>
      <c r="X112" s="250">
        <v>2070161</v>
      </c>
      <c r="Y112" s="293">
        <v>761900</v>
      </c>
      <c r="Z112" s="294">
        <v>-1</v>
      </c>
      <c r="AA112" s="251"/>
      <c r="AB112" s="251"/>
    </row>
    <row r="113" spans="1:28" s="295" customFormat="1" ht="15.75">
      <c r="A113" s="297"/>
      <c r="B113" s="284"/>
      <c r="C113" s="298"/>
      <c r="D113" s="284"/>
      <c r="E113" s="272"/>
      <c r="F113" s="151" t="s">
        <v>322</v>
      </c>
      <c r="G113" s="284"/>
      <c r="H113" s="284"/>
      <c r="I113" s="284"/>
      <c r="J113" s="299"/>
      <c r="K113" s="288"/>
      <c r="L113" s="289"/>
      <c r="M113" s="288"/>
      <c r="N113" s="300"/>
      <c r="O113" s="290"/>
      <c r="P113" s="291"/>
      <c r="Q113" s="288"/>
      <c r="R113" s="300"/>
      <c r="S113" s="292"/>
      <c r="T113" s="296"/>
      <c r="U113" s="250"/>
      <c r="V113" s="250"/>
      <c r="W113" s="250"/>
      <c r="X113" s="250"/>
      <c r="Y113" s="293"/>
      <c r="Z113" s="385"/>
      <c r="AA113" s="251"/>
      <c r="AB113" s="251"/>
    </row>
    <row r="114" spans="1:28" s="295" customFormat="1" ht="15.75">
      <c r="A114" s="284">
        <v>92</v>
      </c>
      <c r="B114" s="284">
        <v>0</v>
      </c>
      <c r="C114" s="284" t="s">
        <v>323</v>
      </c>
      <c r="D114" s="284" t="s">
        <v>3250</v>
      </c>
      <c r="E114" s="285" t="s">
        <v>2509</v>
      </c>
      <c r="F114" s="286" t="s">
        <v>324</v>
      </c>
      <c r="G114" s="284">
        <v>230</v>
      </c>
      <c r="H114" s="284">
        <v>17</v>
      </c>
      <c r="I114" s="284">
        <v>0.95</v>
      </c>
      <c r="J114" s="287">
        <f>Y114*H114%*I114/G114*1000</f>
        <v>476846.3043478261</v>
      </c>
      <c r="K114" s="288">
        <v>4.59</v>
      </c>
      <c r="L114" s="289">
        <f>(Y114*K114%)/G114*1000</f>
        <v>135524.73913043475</v>
      </c>
      <c r="M114" s="288">
        <v>5</v>
      </c>
      <c r="N114" s="289">
        <f>(Y114*M114%)/G114*1000</f>
        <v>147630.43478260867</v>
      </c>
      <c r="O114" s="290">
        <v>19.2</v>
      </c>
      <c r="P114" s="291" t="s">
        <v>1590</v>
      </c>
      <c r="Q114" s="288">
        <v>1.05</v>
      </c>
      <c r="R114" s="289">
        <f>O114*diezel*Q114</f>
        <v>386705.4912</v>
      </c>
      <c r="S114" s="292" t="s">
        <v>1591</v>
      </c>
      <c r="T114" s="289">
        <f>'Nhan cong'!$M$42</f>
        <v>145974.23076923078</v>
      </c>
      <c r="U114" s="250">
        <f>ROUND((J114+L114+N114+R114+T114),0)</f>
        <v>1292681</v>
      </c>
      <c r="V114" s="250">
        <v>1313535</v>
      </c>
      <c r="W114" s="250">
        <v>1292681</v>
      </c>
      <c r="X114" s="250">
        <v>1262096</v>
      </c>
      <c r="Y114" s="293">
        <v>679100</v>
      </c>
      <c r="Z114" s="294"/>
      <c r="AA114" s="251"/>
      <c r="AB114" s="251"/>
    </row>
    <row r="115" spans="1:28" s="295" customFormat="1" ht="15.75">
      <c r="A115" s="284">
        <v>93</v>
      </c>
      <c r="B115" s="284">
        <v>0</v>
      </c>
      <c r="C115" s="284" t="s">
        <v>325</v>
      </c>
      <c r="D115" s="284" t="s">
        <v>3251</v>
      </c>
      <c r="E115" s="285" t="s">
        <v>2510</v>
      </c>
      <c r="F115" s="286" t="s">
        <v>326</v>
      </c>
      <c r="G115" s="284">
        <v>230</v>
      </c>
      <c r="H115" s="284">
        <v>17</v>
      </c>
      <c r="I115" s="284">
        <v>0.95</v>
      </c>
      <c r="J115" s="287">
        <f>Y115*H115%*I115/G115*1000</f>
        <v>776744.7826086956</v>
      </c>
      <c r="K115" s="288">
        <v>4.25</v>
      </c>
      <c r="L115" s="289">
        <f>(Y115*K115%)/G115*1000</f>
        <v>204406.52173913043</v>
      </c>
      <c r="M115" s="288">
        <v>5</v>
      </c>
      <c r="N115" s="289">
        <f>(Y115*M115%)/G115*1000</f>
        <v>240478.26086956522</v>
      </c>
      <c r="O115" s="290">
        <v>38.64</v>
      </c>
      <c r="P115" s="291" t="s">
        <v>1590</v>
      </c>
      <c r="Q115" s="288">
        <v>1.05</v>
      </c>
      <c r="R115" s="289">
        <f>O115*diezel*Q115</f>
        <v>778244.80104</v>
      </c>
      <c r="S115" s="292" t="s">
        <v>1591</v>
      </c>
      <c r="T115" s="289">
        <f>'Nhan cong'!$M$42</f>
        <v>145974.23076923078</v>
      </c>
      <c r="U115" s="250">
        <f>ROUND((J115+L115+N115+R115+T115),0)-1</f>
        <v>2145848</v>
      </c>
      <c r="V115" s="250">
        <v>2166702</v>
      </c>
      <c r="W115" s="250">
        <v>2145848</v>
      </c>
      <c r="X115" s="250">
        <v>2115264</v>
      </c>
      <c r="Y115" s="293">
        <v>1106200</v>
      </c>
      <c r="Z115" s="294">
        <v>-1</v>
      </c>
      <c r="AA115" s="251"/>
      <c r="AB115" s="251"/>
    </row>
    <row r="116" spans="1:28" s="295" customFormat="1" ht="15.75">
      <c r="A116" s="284">
        <v>94</v>
      </c>
      <c r="B116" s="284" t="s">
        <v>3812</v>
      </c>
      <c r="C116" s="284" t="s">
        <v>327</v>
      </c>
      <c r="D116" s="284" t="s">
        <v>3252</v>
      </c>
      <c r="E116" s="285" t="s">
        <v>2511</v>
      </c>
      <c r="F116" s="286" t="s">
        <v>328</v>
      </c>
      <c r="G116" s="284">
        <v>230</v>
      </c>
      <c r="H116" s="284">
        <v>17</v>
      </c>
      <c r="I116" s="284">
        <v>0.95</v>
      </c>
      <c r="J116" s="287">
        <f>Y116*H116%*I116/G116*1000</f>
        <v>908964.1304347827</v>
      </c>
      <c r="K116" s="288">
        <v>4.25</v>
      </c>
      <c r="L116" s="289">
        <f>(Y116*K116%)/G116*1000</f>
        <v>239201.0869565218</v>
      </c>
      <c r="M116" s="288">
        <v>5</v>
      </c>
      <c r="N116" s="289">
        <f>(Y116*M116%)/G116*1000</f>
        <v>281413.04347826086</v>
      </c>
      <c r="O116" s="290">
        <v>52.8</v>
      </c>
      <c r="P116" s="291" t="s">
        <v>1590</v>
      </c>
      <c r="Q116" s="288">
        <v>1.05</v>
      </c>
      <c r="R116" s="289">
        <f>O116*diezel*Q116</f>
        <v>1063440.1008</v>
      </c>
      <c r="S116" s="292" t="s">
        <v>1591</v>
      </c>
      <c r="T116" s="289">
        <f>'Nhan cong'!$M$42</f>
        <v>145974.23076923078</v>
      </c>
      <c r="U116" s="250">
        <f>ROUND((J116+L116+N116+R116+T116),0)-1</f>
        <v>2638992</v>
      </c>
      <c r="V116" s="250">
        <v>2659846</v>
      </c>
      <c r="W116" s="250">
        <v>2638992</v>
      </c>
      <c r="X116" s="250">
        <v>2608407</v>
      </c>
      <c r="Y116" s="293">
        <v>1294500</v>
      </c>
      <c r="Z116" s="294">
        <v>-1</v>
      </c>
      <c r="AA116" s="251"/>
      <c r="AB116" s="251"/>
    </row>
    <row r="117" spans="1:28" s="295" customFormat="1" ht="15.75">
      <c r="A117" s="284">
        <v>95</v>
      </c>
      <c r="B117" s="284" t="s">
        <v>3813</v>
      </c>
      <c r="C117" s="284" t="s">
        <v>329</v>
      </c>
      <c r="D117" s="284" t="s">
        <v>3253</v>
      </c>
      <c r="E117" s="285" t="s">
        <v>2512</v>
      </c>
      <c r="F117" s="286" t="s">
        <v>330</v>
      </c>
      <c r="G117" s="284">
        <v>230</v>
      </c>
      <c r="H117" s="284">
        <v>17</v>
      </c>
      <c r="I117" s="284">
        <v>0.95</v>
      </c>
      <c r="J117" s="287">
        <f>Y117*H117%*I117/G117*1000</f>
        <v>1022154.5652173914</v>
      </c>
      <c r="K117" s="288">
        <v>3.74</v>
      </c>
      <c r="L117" s="289">
        <f>(Y117*K117%)/G117*1000</f>
        <v>236709.47826086957</v>
      </c>
      <c r="M117" s="288">
        <v>5</v>
      </c>
      <c r="N117" s="289">
        <f>(Y117*M117%)/G117*1000</f>
        <v>316456.52173913043</v>
      </c>
      <c r="O117" s="290">
        <v>67.2</v>
      </c>
      <c r="P117" s="291" t="s">
        <v>1590</v>
      </c>
      <c r="Q117" s="288">
        <v>1.05</v>
      </c>
      <c r="R117" s="289">
        <f>O117*diezel*Q117</f>
        <v>1353469.2192000002</v>
      </c>
      <c r="S117" s="292" t="s">
        <v>1591</v>
      </c>
      <c r="T117" s="289">
        <f>'Nhan cong'!$M$42</f>
        <v>145974.23076923078</v>
      </c>
      <c r="U117" s="250">
        <f>ROUND((J117+L117+N117+R117+T117),0)-1</f>
        <v>3074763</v>
      </c>
      <c r="V117" s="250">
        <v>3095618</v>
      </c>
      <c r="W117" s="250">
        <v>3074763</v>
      </c>
      <c r="X117" s="250">
        <v>3044179</v>
      </c>
      <c r="Y117" s="293">
        <v>1455700</v>
      </c>
      <c r="Z117" s="294">
        <v>-1</v>
      </c>
      <c r="AA117" s="251"/>
      <c r="AB117" s="251"/>
    </row>
    <row r="118" spans="1:28" s="295" customFormat="1" ht="15.75">
      <c r="A118" s="297"/>
      <c r="B118" s="284"/>
      <c r="C118" s="298"/>
      <c r="D118" s="284"/>
      <c r="E118" s="272"/>
      <c r="F118" s="151" t="s">
        <v>331</v>
      </c>
      <c r="G118" s="284"/>
      <c r="H118" s="284"/>
      <c r="I118" s="284"/>
      <c r="J118" s="299"/>
      <c r="K118" s="288"/>
      <c r="L118" s="289"/>
      <c r="M118" s="288"/>
      <c r="N118" s="300"/>
      <c r="O118" s="290"/>
      <c r="P118" s="291"/>
      <c r="Q118" s="288"/>
      <c r="R118" s="300"/>
      <c r="S118" s="292"/>
      <c r="T118" s="289"/>
      <c r="U118" s="250"/>
      <c r="V118" s="250"/>
      <c r="W118" s="250"/>
      <c r="X118" s="250"/>
      <c r="Y118" s="293"/>
      <c r="Z118" s="385"/>
      <c r="AA118" s="251"/>
      <c r="AB118" s="251"/>
    </row>
    <row r="119" spans="1:28" s="295" customFormat="1" ht="15.75">
      <c r="A119" s="284">
        <v>96</v>
      </c>
      <c r="B119" s="284">
        <v>0</v>
      </c>
      <c r="C119" s="284" t="s">
        <v>332</v>
      </c>
      <c r="D119" s="284" t="s">
        <v>3254</v>
      </c>
      <c r="E119" s="285" t="s">
        <v>2513</v>
      </c>
      <c r="F119" s="286" t="s">
        <v>333</v>
      </c>
      <c r="G119" s="284">
        <v>230</v>
      </c>
      <c r="H119" s="284">
        <v>18</v>
      </c>
      <c r="I119" s="284">
        <v>0.95</v>
      </c>
      <c r="J119" s="287">
        <f>Y119*H119%*I119/G119*1000</f>
        <v>306238.6956521739</v>
      </c>
      <c r="K119" s="288">
        <v>3.6</v>
      </c>
      <c r="L119" s="289">
        <f>(Y119*K119%)/G119*1000</f>
        <v>64471.30434782609</v>
      </c>
      <c r="M119" s="288">
        <v>5</v>
      </c>
      <c r="N119" s="289">
        <f>(Y119*M119%)/G119*1000</f>
        <v>89543.47826086957</v>
      </c>
      <c r="O119" s="290">
        <v>25.92</v>
      </c>
      <c r="P119" s="291" t="s">
        <v>1590</v>
      </c>
      <c r="Q119" s="288">
        <v>1.05</v>
      </c>
      <c r="R119" s="289">
        <f>O119*diezel*Q119</f>
        <v>522052.4131200001</v>
      </c>
      <c r="S119" s="292" t="s">
        <v>1591</v>
      </c>
      <c r="T119" s="289">
        <f>'Nhan cong'!$M$42</f>
        <v>145974.23076923078</v>
      </c>
      <c r="U119" s="250">
        <f>ROUND((J119+L119+N119+R119+T119),0)</f>
        <v>1128280</v>
      </c>
      <c r="V119" s="250">
        <v>1149134</v>
      </c>
      <c r="W119" s="250">
        <v>1128280</v>
      </c>
      <c r="X119" s="250">
        <v>1097695</v>
      </c>
      <c r="Y119" s="293">
        <v>411900</v>
      </c>
      <c r="Z119" s="294"/>
      <c r="AA119" s="251"/>
      <c r="AB119" s="251"/>
    </row>
    <row r="120" spans="1:28" s="295" customFormat="1" ht="15.75">
      <c r="A120" s="284">
        <v>97</v>
      </c>
      <c r="B120" s="284">
        <v>0</v>
      </c>
      <c r="C120" s="284" t="s">
        <v>334</v>
      </c>
      <c r="D120" s="284" t="s">
        <v>999</v>
      </c>
      <c r="E120" s="285" t="s">
        <v>2514</v>
      </c>
      <c r="F120" s="286" t="s">
        <v>304</v>
      </c>
      <c r="G120" s="284">
        <v>230</v>
      </c>
      <c r="H120" s="284">
        <v>18</v>
      </c>
      <c r="I120" s="284">
        <v>0.95</v>
      </c>
      <c r="J120" s="287">
        <f>Y120*H120%*I120/G120*1000</f>
        <v>379991.7391304347</v>
      </c>
      <c r="K120" s="288">
        <v>3.6</v>
      </c>
      <c r="L120" s="289">
        <f>(Y120*K120%)/G120*1000</f>
        <v>79998.26086956523</v>
      </c>
      <c r="M120" s="288">
        <v>5</v>
      </c>
      <c r="N120" s="289">
        <f>(Y120*M120%)/G120*1000</f>
        <v>111108.6956521739</v>
      </c>
      <c r="O120" s="290">
        <v>36</v>
      </c>
      <c r="P120" s="291" t="s">
        <v>1590</v>
      </c>
      <c r="Q120" s="288">
        <v>1.05</v>
      </c>
      <c r="R120" s="289">
        <f>O120*diezel*Q120</f>
        <v>725072.7960000001</v>
      </c>
      <c r="S120" s="292" t="s">
        <v>1591</v>
      </c>
      <c r="T120" s="289">
        <f>'Nhan cong'!$M$42</f>
        <v>145974.23076923078</v>
      </c>
      <c r="U120" s="250">
        <f>ROUND((J120+L120+N120+R120+T120),0)-1</f>
        <v>1442145</v>
      </c>
      <c r="V120" s="250">
        <v>1462999</v>
      </c>
      <c r="W120" s="250">
        <v>1442145</v>
      </c>
      <c r="X120" s="250">
        <v>1411560</v>
      </c>
      <c r="Y120" s="293">
        <v>511100</v>
      </c>
      <c r="Z120" s="294">
        <v>-1</v>
      </c>
      <c r="AA120" s="251"/>
      <c r="AB120" s="251"/>
    </row>
    <row r="121" spans="1:28" s="295" customFormat="1" ht="15.75">
      <c r="A121" s="297"/>
      <c r="B121" s="284"/>
      <c r="C121" s="298"/>
      <c r="D121" s="284"/>
      <c r="E121" s="272"/>
      <c r="F121" s="151" t="s">
        <v>335</v>
      </c>
      <c r="G121" s="284"/>
      <c r="H121" s="284"/>
      <c r="I121" s="284"/>
      <c r="J121" s="299"/>
      <c r="K121" s="288"/>
      <c r="L121" s="289"/>
      <c r="M121" s="288"/>
      <c r="N121" s="300"/>
      <c r="O121" s="290"/>
      <c r="P121" s="291"/>
      <c r="Q121" s="288"/>
      <c r="R121" s="300"/>
      <c r="S121" s="292"/>
      <c r="T121" s="289"/>
      <c r="U121" s="250"/>
      <c r="V121" s="250"/>
      <c r="W121" s="250"/>
      <c r="X121" s="250"/>
      <c r="Y121" s="293"/>
      <c r="Z121" s="385"/>
      <c r="AA121" s="251"/>
      <c r="AB121" s="251"/>
    </row>
    <row r="122" spans="1:28" s="295" customFormat="1" ht="15.75">
      <c r="A122" s="284">
        <v>98</v>
      </c>
      <c r="B122" s="284">
        <v>0</v>
      </c>
      <c r="C122" s="284" t="s">
        <v>336</v>
      </c>
      <c r="D122" s="284" t="s">
        <v>3255</v>
      </c>
      <c r="E122" s="285" t="s">
        <v>2515</v>
      </c>
      <c r="F122" s="286" t="s">
        <v>337</v>
      </c>
      <c r="G122" s="284">
        <v>230</v>
      </c>
      <c r="H122" s="284">
        <v>18</v>
      </c>
      <c r="I122" s="284">
        <v>0.95</v>
      </c>
      <c r="J122" s="287">
        <f aca="true" t="shared" si="21" ref="J122:J127">Y122*H122%*I122/G122*1000</f>
        <v>237243.91304347824</v>
      </c>
      <c r="K122" s="288">
        <v>2.88</v>
      </c>
      <c r="L122" s="289">
        <f aca="true" t="shared" si="22" ref="L122:L127">(Y122*K122%)/G122*1000</f>
        <v>39956.86956521739</v>
      </c>
      <c r="M122" s="288">
        <v>5</v>
      </c>
      <c r="N122" s="289">
        <f aca="true" t="shared" si="23" ref="N122:N127">(Y122*M122%)/G122*1000</f>
        <v>69369.5652173913</v>
      </c>
      <c r="O122" s="290">
        <v>24</v>
      </c>
      <c r="P122" s="291" t="s">
        <v>1590</v>
      </c>
      <c r="Q122" s="288">
        <v>1.05</v>
      </c>
      <c r="R122" s="289">
        <f aca="true" t="shared" si="24" ref="R122:R127">O122*diezel*Q122</f>
        <v>483381.864</v>
      </c>
      <c r="S122" s="292" t="s">
        <v>295</v>
      </c>
      <c r="T122" s="296">
        <f>'Nhan cong'!M$38</f>
        <v>125620.38461538461</v>
      </c>
      <c r="U122" s="250">
        <f>ROUND((J122+L122+N122+R122+T122),0)-1</f>
        <v>955572</v>
      </c>
      <c r="V122" s="250">
        <v>973518</v>
      </c>
      <c r="W122" s="250">
        <v>955572</v>
      </c>
      <c r="X122" s="250">
        <v>929252</v>
      </c>
      <c r="Y122" s="293">
        <v>319100</v>
      </c>
      <c r="Z122" s="294">
        <v>-1</v>
      </c>
      <c r="AA122" s="251"/>
      <c r="AB122" s="251"/>
    </row>
    <row r="123" spans="1:28" s="295" customFormat="1" ht="15.75">
      <c r="A123" s="284">
        <v>99</v>
      </c>
      <c r="B123" s="284">
        <v>0</v>
      </c>
      <c r="C123" s="284" t="s">
        <v>338</v>
      </c>
      <c r="D123" s="284" t="s">
        <v>3256</v>
      </c>
      <c r="E123" s="285" t="s">
        <v>2516</v>
      </c>
      <c r="F123" s="286" t="s">
        <v>339</v>
      </c>
      <c r="G123" s="284">
        <v>230</v>
      </c>
      <c r="H123" s="284">
        <v>18</v>
      </c>
      <c r="I123" s="284">
        <v>0.95</v>
      </c>
      <c r="J123" s="287">
        <f t="shared" si="21"/>
        <v>308766.52173913043</v>
      </c>
      <c r="K123" s="288">
        <v>2.88</v>
      </c>
      <c r="L123" s="289">
        <f t="shared" si="22"/>
        <v>52002.78260869565</v>
      </c>
      <c r="M123" s="288">
        <v>5</v>
      </c>
      <c r="N123" s="289">
        <f t="shared" si="23"/>
        <v>90282.60869565218</v>
      </c>
      <c r="O123" s="290">
        <v>26.4</v>
      </c>
      <c r="P123" s="291" t="s">
        <v>1590</v>
      </c>
      <c r="Q123" s="288">
        <v>1.05</v>
      </c>
      <c r="R123" s="289">
        <f t="shared" si="24"/>
        <v>531720.0504</v>
      </c>
      <c r="S123" s="292" t="s">
        <v>1591</v>
      </c>
      <c r="T123" s="289">
        <f>'Nhan cong'!$M$42</f>
        <v>145974.23076923078</v>
      </c>
      <c r="U123" s="250">
        <f>ROUND((J123+L123+N123+R123+T123),0)</f>
        <v>1128746</v>
      </c>
      <c r="V123" s="250">
        <v>1149600</v>
      </c>
      <c r="W123" s="250">
        <v>1128746</v>
      </c>
      <c r="X123" s="250">
        <v>1098161</v>
      </c>
      <c r="Y123" s="293">
        <v>415300</v>
      </c>
      <c r="Z123" s="294"/>
      <c r="AA123" s="251"/>
      <c r="AB123" s="251"/>
    </row>
    <row r="124" spans="1:28" s="295" customFormat="1" ht="15.75">
      <c r="A124" s="284">
        <v>100</v>
      </c>
      <c r="B124" s="284">
        <v>0</v>
      </c>
      <c r="C124" s="284" t="s">
        <v>340</v>
      </c>
      <c r="D124" s="284" t="s">
        <v>3257</v>
      </c>
      <c r="E124" s="285" t="s">
        <v>2517</v>
      </c>
      <c r="F124" s="286" t="s">
        <v>341</v>
      </c>
      <c r="G124" s="284">
        <v>230</v>
      </c>
      <c r="H124" s="284">
        <v>18</v>
      </c>
      <c r="I124" s="284">
        <v>0.95</v>
      </c>
      <c r="J124" s="287">
        <f t="shared" si="21"/>
        <v>335234.347826087</v>
      </c>
      <c r="K124" s="288">
        <v>2.88</v>
      </c>
      <c r="L124" s="289">
        <f t="shared" si="22"/>
        <v>56460.52173913043</v>
      </c>
      <c r="M124" s="288">
        <v>5</v>
      </c>
      <c r="N124" s="289">
        <f t="shared" si="23"/>
        <v>98021.73913043478</v>
      </c>
      <c r="O124" s="290">
        <v>32.16</v>
      </c>
      <c r="P124" s="291" t="s">
        <v>1590</v>
      </c>
      <c r="Q124" s="288">
        <v>1.05</v>
      </c>
      <c r="R124" s="289">
        <f t="shared" si="24"/>
        <v>647731.6977599999</v>
      </c>
      <c r="S124" s="292" t="s">
        <v>1591</v>
      </c>
      <c r="T124" s="289">
        <f>'Nhan cong'!$M$42</f>
        <v>145974.23076923078</v>
      </c>
      <c r="U124" s="250">
        <f>ROUND((J124+L124+N124+R124+T124),0)-1</f>
        <v>1283422</v>
      </c>
      <c r="V124" s="250">
        <v>1304276</v>
      </c>
      <c r="W124" s="250">
        <v>1283422</v>
      </c>
      <c r="X124" s="250">
        <v>1252837</v>
      </c>
      <c r="Y124" s="293">
        <v>450900</v>
      </c>
      <c r="Z124" s="294">
        <v>-1</v>
      </c>
      <c r="AA124" s="251"/>
      <c r="AB124" s="251"/>
    </row>
    <row r="125" spans="1:28" s="295" customFormat="1" ht="15.75">
      <c r="A125" s="284">
        <v>101</v>
      </c>
      <c r="B125" s="284">
        <v>0</v>
      </c>
      <c r="C125" s="284" t="s">
        <v>342</v>
      </c>
      <c r="D125" s="284" t="s">
        <v>3258</v>
      </c>
      <c r="E125" s="285" t="s">
        <v>2518</v>
      </c>
      <c r="F125" s="286" t="s">
        <v>343</v>
      </c>
      <c r="G125" s="284">
        <v>230</v>
      </c>
      <c r="H125" s="284">
        <v>18</v>
      </c>
      <c r="I125" s="284">
        <v>0.95</v>
      </c>
      <c r="J125" s="287">
        <f t="shared" si="21"/>
        <v>361999.5652173913</v>
      </c>
      <c r="K125" s="288">
        <v>2.88</v>
      </c>
      <c r="L125" s="289">
        <f t="shared" si="22"/>
        <v>60968.34782608695</v>
      </c>
      <c r="M125" s="288">
        <v>5</v>
      </c>
      <c r="N125" s="289">
        <f t="shared" si="23"/>
        <v>105847.82608695651</v>
      </c>
      <c r="O125" s="290">
        <v>36</v>
      </c>
      <c r="P125" s="291" t="s">
        <v>1590</v>
      </c>
      <c r="Q125" s="288">
        <v>1.05</v>
      </c>
      <c r="R125" s="289">
        <f t="shared" si="24"/>
        <v>725072.7960000001</v>
      </c>
      <c r="S125" s="292" t="s">
        <v>1591</v>
      </c>
      <c r="T125" s="289">
        <f>'Nhan cong'!$M$42</f>
        <v>145974.23076923078</v>
      </c>
      <c r="U125" s="250">
        <f>ROUND((J125+L125+N125+R125+T125),0)-1</f>
        <v>1399862</v>
      </c>
      <c r="V125" s="250">
        <v>1420717</v>
      </c>
      <c r="W125" s="250">
        <v>1399862</v>
      </c>
      <c r="X125" s="250">
        <v>1369277</v>
      </c>
      <c r="Y125" s="293">
        <v>486900</v>
      </c>
      <c r="Z125" s="294">
        <v>-1</v>
      </c>
      <c r="AA125" s="251"/>
      <c r="AB125" s="251"/>
    </row>
    <row r="126" spans="1:28" s="295" customFormat="1" ht="15.75">
      <c r="A126" s="284">
        <v>102</v>
      </c>
      <c r="B126" s="284">
        <v>0</v>
      </c>
      <c r="C126" s="284" t="s">
        <v>344</v>
      </c>
      <c r="D126" s="284" t="s">
        <v>3259</v>
      </c>
      <c r="E126" s="285" t="s">
        <v>2519</v>
      </c>
      <c r="F126" s="286" t="s">
        <v>345</v>
      </c>
      <c r="G126" s="284">
        <v>230</v>
      </c>
      <c r="H126" s="284">
        <v>18</v>
      </c>
      <c r="I126" s="284">
        <v>0.95</v>
      </c>
      <c r="J126" s="287">
        <f t="shared" si="21"/>
        <v>410920.4347826087</v>
      </c>
      <c r="K126" s="288">
        <v>2.88</v>
      </c>
      <c r="L126" s="289">
        <f t="shared" si="22"/>
        <v>69207.65217391304</v>
      </c>
      <c r="M126" s="288">
        <v>5</v>
      </c>
      <c r="N126" s="289">
        <f t="shared" si="23"/>
        <v>120152.17391304349</v>
      </c>
      <c r="O126" s="290">
        <v>38.4</v>
      </c>
      <c r="P126" s="291" t="s">
        <v>1590</v>
      </c>
      <c r="Q126" s="288">
        <v>1.05</v>
      </c>
      <c r="R126" s="289">
        <f t="shared" si="24"/>
        <v>773410.9824</v>
      </c>
      <c r="S126" s="292" t="s">
        <v>1591</v>
      </c>
      <c r="T126" s="289">
        <f>'Nhan cong'!$M$42</f>
        <v>145974.23076923078</v>
      </c>
      <c r="U126" s="250">
        <f>ROUND((J126+L126+N126+R126+T126),0)</f>
        <v>1519665</v>
      </c>
      <c r="V126" s="250">
        <v>1540519</v>
      </c>
      <c r="W126" s="250">
        <v>1519665</v>
      </c>
      <c r="X126" s="250">
        <v>1489080</v>
      </c>
      <c r="Y126" s="293">
        <v>552700</v>
      </c>
      <c r="Z126" s="294"/>
      <c r="AA126" s="251"/>
      <c r="AB126" s="251"/>
    </row>
    <row r="127" spans="1:28" s="295" customFormat="1" ht="15.75">
      <c r="A127" s="284">
        <v>103</v>
      </c>
      <c r="B127" s="284">
        <v>0</v>
      </c>
      <c r="C127" s="284" t="s">
        <v>346</v>
      </c>
      <c r="D127" s="284" t="s">
        <v>3260</v>
      </c>
      <c r="E127" s="285" t="s">
        <v>2520</v>
      </c>
      <c r="F127" s="286" t="s">
        <v>347</v>
      </c>
      <c r="G127" s="284">
        <v>230</v>
      </c>
      <c r="H127" s="284">
        <v>17</v>
      </c>
      <c r="I127" s="284">
        <v>0.95</v>
      </c>
      <c r="J127" s="287">
        <f t="shared" si="21"/>
        <v>481761.5217391305</v>
      </c>
      <c r="K127" s="288">
        <v>2.72</v>
      </c>
      <c r="L127" s="289">
        <f t="shared" si="22"/>
        <v>81138.78260869566</v>
      </c>
      <c r="M127" s="288">
        <v>5</v>
      </c>
      <c r="N127" s="289">
        <f t="shared" si="23"/>
        <v>149152.17391304346</v>
      </c>
      <c r="O127" s="290">
        <v>41.76</v>
      </c>
      <c r="P127" s="291" t="s">
        <v>1590</v>
      </c>
      <c r="Q127" s="288">
        <v>1.05</v>
      </c>
      <c r="R127" s="289">
        <f t="shared" si="24"/>
        <v>841084.44336</v>
      </c>
      <c r="S127" s="292" t="s">
        <v>1591</v>
      </c>
      <c r="T127" s="289">
        <f>'Nhan cong'!$M$42</f>
        <v>145974.23076923078</v>
      </c>
      <c r="U127" s="250">
        <f>ROUND((J127+L127+N127+R127+T127),0)-1</f>
        <v>1699110</v>
      </c>
      <c r="V127" s="250">
        <v>1719965</v>
      </c>
      <c r="W127" s="250">
        <v>1699110</v>
      </c>
      <c r="X127" s="250">
        <v>1668525</v>
      </c>
      <c r="Y127" s="293">
        <v>686100</v>
      </c>
      <c r="Z127" s="294"/>
      <c r="AA127" s="251"/>
      <c r="AB127" s="251"/>
    </row>
    <row r="128" spans="1:28" s="295" customFormat="1" ht="15.75">
      <c r="A128" s="297"/>
      <c r="B128" s="284"/>
      <c r="C128" s="298"/>
      <c r="D128" s="284"/>
      <c r="E128" s="272"/>
      <c r="F128" s="151" t="s">
        <v>348</v>
      </c>
      <c r="G128" s="284"/>
      <c r="H128" s="284"/>
      <c r="I128" s="284"/>
      <c r="J128" s="299"/>
      <c r="K128" s="288"/>
      <c r="L128" s="289"/>
      <c r="M128" s="288"/>
      <c r="N128" s="300"/>
      <c r="O128" s="290"/>
      <c r="P128" s="291"/>
      <c r="Q128" s="288"/>
      <c r="R128" s="300"/>
      <c r="S128" s="292"/>
      <c r="T128" s="289"/>
      <c r="U128" s="250"/>
      <c r="V128" s="250"/>
      <c r="W128" s="250"/>
      <c r="X128" s="250"/>
      <c r="Y128" s="293"/>
      <c r="Z128" s="385"/>
      <c r="AA128" s="251"/>
      <c r="AB128" s="251"/>
    </row>
    <row r="129" spans="1:28" s="295" customFormat="1" ht="15.75">
      <c r="A129" s="284">
        <v>104</v>
      </c>
      <c r="B129" s="284" t="s">
        <v>620</v>
      </c>
      <c r="C129" s="284" t="s">
        <v>349</v>
      </c>
      <c r="D129" s="284" t="s">
        <v>3261</v>
      </c>
      <c r="E129" s="285" t="s">
        <v>2521</v>
      </c>
      <c r="F129" s="286" t="s">
        <v>350</v>
      </c>
      <c r="G129" s="284">
        <v>230</v>
      </c>
      <c r="H129" s="284">
        <v>17</v>
      </c>
      <c r="I129" s="284">
        <v>0.95</v>
      </c>
      <c r="J129" s="287">
        <f>Y129*H129%*I129/G129*1000</f>
        <v>366183.69565217395</v>
      </c>
      <c r="K129" s="288">
        <v>2.5</v>
      </c>
      <c r="L129" s="289">
        <f>(Y129*K129%)/G129*1000</f>
        <v>56684.78260869565</v>
      </c>
      <c r="M129" s="288">
        <v>5</v>
      </c>
      <c r="N129" s="289">
        <f>(Y129*M129%)/G129*1000</f>
        <v>113369.5652173913</v>
      </c>
      <c r="O129" s="290">
        <v>40.32</v>
      </c>
      <c r="P129" s="291" t="s">
        <v>1590</v>
      </c>
      <c r="Q129" s="288">
        <v>1.05</v>
      </c>
      <c r="R129" s="289">
        <f>O129*diezel*Q129</f>
        <v>812081.53152</v>
      </c>
      <c r="S129" s="292" t="s">
        <v>1591</v>
      </c>
      <c r="T129" s="289">
        <f>'Nhan cong'!$M$42</f>
        <v>145974.23076923078</v>
      </c>
      <c r="U129" s="250">
        <f>ROUND((J129+L129+N129+R129+T129),0)-1</f>
        <v>1494293</v>
      </c>
      <c r="V129" s="250">
        <v>1515148</v>
      </c>
      <c r="W129" s="250">
        <v>1494293</v>
      </c>
      <c r="X129" s="250">
        <v>1463708</v>
      </c>
      <c r="Y129" s="293">
        <v>521500</v>
      </c>
      <c r="Z129" s="294">
        <v>-1</v>
      </c>
      <c r="AA129" s="251"/>
      <c r="AB129" s="251"/>
    </row>
    <row r="130" spans="1:28" s="295" customFormat="1" ht="15.75">
      <c r="A130" s="297"/>
      <c r="B130" s="284"/>
      <c r="C130" s="298"/>
      <c r="D130" s="284"/>
      <c r="E130" s="272"/>
      <c r="F130" s="151" t="s">
        <v>351</v>
      </c>
      <c r="G130" s="284"/>
      <c r="H130" s="284"/>
      <c r="I130" s="284"/>
      <c r="J130" s="299"/>
      <c r="K130" s="288"/>
      <c r="L130" s="289"/>
      <c r="M130" s="288"/>
      <c r="N130" s="300"/>
      <c r="O130" s="290"/>
      <c r="P130" s="291"/>
      <c r="Q130" s="288"/>
      <c r="R130" s="300"/>
      <c r="S130" s="292"/>
      <c r="T130" s="289"/>
      <c r="U130" s="250"/>
      <c r="V130" s="250"/>
      <c r="W130" s="250"/>
      <c r="X130" s="250"/>
      <c r="Y130" s="293"/>
      <c r="Z130" s="385"/>
      <c r="AA130" s="251"/>
      <c r="AB130" s="251"/>
    </row>
    <row r="131" spans="1:28" s="295" customFormat="1" ht="31.5">
      <c r="A131" s="284">
        <v>105</v>
      </c>
      <c r="B131" s="284">
        <v>0</v>
      </c>
      <c r="C131" s="284" t="s">
        <v>352</v>
      </c>
      <c r="D131" s="284" t="s">
        <v>370</v>
      </c>
      <c r="E131" s="285" t="s">
        <v>2522</v>
      </c>
      <c r="F131" s="286" t="s">
        <v>353</v>
      </c>
      <c r="G131" s="284">
        <v>220</v>
      </c>
      <c r="H131" s="284">
        <v>18</v>
      </c>
      <c r="I131" s="284">
        <v>0.95</v>
      </c>
      <c r="J131" s="287">
        <f aca="true" t="shared" si="25" ref="J131:J141">Y131*H131%*I131/G131*1000</f>
        <v>124208.18181818181</v>
      </c>
      <c r="K131" s="288">
        <v>6.2</v>
      </c>
      <c r="L131" s="289">
        <f aca="true" t="shared" si="26" ref="L131:L141">(Y131*K131%)/G131*1000</f>
        <v>45034.545454545456</v>
      </c>
      <c r="M131" s="288">
        <v>6</v>
      </c>
      <c r="N131" s="289">
        <f aca="true" t="shared" si="27" ref="N131:N141">(Y131*M131%)/G131*1000</f>
        <v>43581.81818181818</v>
      </c>
      <c r="O131" s="290">
        <v>12</v>
      </c>
      <c r="P131" s="291" t="s">
        <v>294</v>
      </c>
      <c r="Q131" s="288">
        <v>1.03</v>
      </c>
      <c r="R131" s="289">
        <f>O131*xang*Q131</f>
        <v>239334.5904</v>
      </c>
      <c r="S131" s="292" t="s">
        <v>354</v>
      </c>
      <c r="T131" s="296">
        <f>'Nhan cong'!M83</f>
        <v>138850.38461538462</v>
      </c>
      <c r="U131" s="250">
        <f>ROUND((J131+L131+N131+R131+T131),0)-1</f>
        <v>591009</v>
      </c>
      <c r="V131" s="250">
        <v>610845</v>
      </c>
      <c r="W131" s="250">
        <v>591009</v>
      </c>
      <c r="X131" s="250">
        <v>561917</v>
      </c>
      <c r="Y131" s="293">
        <v>159800</v>
      </c>
      <c r="Z131" s="294">
        <v>-1</v>
      </c>
      <c r="AA131" s="251"/>
      <c r="AB131" s="251"/>
    </row>
    <row r="132" spans="1:28" s="295" customFormat="1" ht="31.5">
      <c r="A132" s="284">
        <v>106</v>
      </c>
      <c r="B132" s="284">
        <v>0</v>
      </c>
      <c r="C132" s="284" t="s">
        <v>355</v>
      </c>
      <c r="D132" s="284" t="s">
        <v>361</v>
      </c>
      <c r="E132" s="285" t="s">
        <v>2523</v>
      </c>
      <c r="F132" s="286" t="s">
        <v>356</v>
      </c>
      <c r="G132" s="284">
        <v>220</v>
      </c>
      <c r="H132" s="284">
        <v>17</v>
      </c>
      <c r="I132" s="284">
        <v>0.95</v>
      </c>
      <c r="J132" s="287">
        <f t="shared" si="25"/>
        <v>140211.36363636365</v>
      </c>
      <c r="K132" s="288">
        <v>6.2</v>
      </c>
      <c r="L132" s="289">
        <f t="shared" si="26"/>
        <v>53827.27272727273</v>
      </c>
      <c r="M132" s="288">
        <v>6</v>
      </c>
      <c r="N132" s="289">
        <f t="shared" si="27"/>
        <v>52090.909090909096</v>
      </c>
      <c r="O132" s="290">
        <v>13</v>
      </c>
      <c r="P132" s="291" t="s">
        <v>294</v>
      </c>
      <c r="Q132" s="288">
        <v>1.03</v>
      </c>
      <c r="R132" s="289">
        <f>O132*xang*Q132</f>
        <v>259279.13960000002</v>
      </c>
      <c r="S132" s="292" t="s">
        <v>357</v>
      </c>
      <c r="T132" s="296">
        <f>'Nhan cong'!M84</f>
        <v>163275</v>
      </c>
      <c r="U132" s="250">
        <f aca="true" t="shared" si="28" ref="U132:U141">ROUND((J132+L132+N132+R132+T132),0)</f>
        <v>668684</v>
      </c>
      <c r="V132" s="250">
        <v>692009</v>
      </c>
      <c r="W132" s="250">
        <v>668684</v>
      </c>
      <c r="X132" s="250">
        <v>634474</v>
      </c>
      <c r="Y132" s="293">
        <v>191000</v>
      </c>
      <c r="Z132" s="294"/>
      <c r="AA132" s="251"/>
      <c r="AB132" s="251"/>
    </row>
    <row r="133" spans="1:28" s="295" customFormat="1" ht="31.5">
      <c r="A133" s="284">
        <v>107</v>
      </c>
      <c r="B133" s="284">
        <v>0</v>
      </c>
      <c r="C133" s="284" t="s">
        <v>358</v>
      </c>
      <c r="D133" s="284" t="s">
        <v>374</v>
      </c>
      <c r="E133" s="285" t="s">
        <v>2524</v>
      </c>
      <c r="F133" s="286" t="s">
        <v>359</v>
      </c>
      <c r="G133" s="284">
        <v>220</v>
      </c>
      <c r="H133" s="284">
        <v>17</v>
      </c>
      <c r="I133" s="284">
        <v>0.95</v>
      </c>
      <c r="J133" s="287">
        <f t="shared" si="25"/>
        <v>156691.7045454545</v>
      </c>
      <c r="K133" s="288">
        <v>6.2</v>
      </c>
      <c r="L133" s="289">
        <f t="shared" si="26"/>
        <v>60154.090909090904</v>
      </c>
      <c r="M133" s="288">
        <v>6</v>
      </c>
      <c r="N133" s="289">
        <f t="shared" si="27"/>
        <v>58213.63636363636</v>
      </c>
      <c r="O133" s="290">
        <v>20</v>
      </c>
      <c r="P133" s="291" t="s">
        <v>294</v>
      </c>
      <c r="Q133" s="288">
        <v>1.03</v>
      </c>
      <c r="R133" s="289">
        <f>O133*xang*Q133</f>
        <v>398890.984</v>
      </c>
      <c r="S133" s="292" t="s">
        <v>360</v>
      </c>
      <c r="T133" s="296">
        <f>'Nhan cong'!M88</f>
        <v>148518.46153846153</v>
      </c>
      <c r="U133" s="250">
        <f>ROUND((J133+L133+N133+R133+T133),0)-1</f>
        <v>822468</v>
      </c>
      <c r="V133" s="250">
        <v>843685</v>
      </c>
      <c r="W133" s="250">
        <v>822468</v>
      </c>
      <c r="X133" s="250">
        <v>791350</v>
      </c>
      <c r="Y133" s="293">
        <v>213450</v>
      </c>
      <c r="Z133" s="294">
        <v>-1</v>
      </c>
      <c r="AA133" s="251"/>
      <c r="AB133" s="251"/>
    </row>
    <row r="134" spans="1:28" s="295" customFormat="1" ht="31.5">
      <c r="A134" s="284">
        <v>108</v>
      </c>
      <c r="B134" s="284">
        <v>0</v>
      </c>
      <c r="C134" s="284" t="s">
        <v>361</v>
      </c>
      <c r="D134" s="284" t="s">
        <v>1702</v>
      </c>
      <c r="E134" s="285" t="s">
        <v>2525</v>
      </c>
      <c r="F134" s="286" t="s">
        <v>362</v>
      </c>
      <c r="G134" s="284">
        <v>220</v>
      </c>
      <c r="H134" s="284">
        <v>17</v>
      </c>
      <c r="I134" s="284">
        <v>0.95</v>
      </c>
      <c r="J134" s="287">
        <f t="shared" si="25"/>
        <v>203526.70454545456</v>
      </c>
      <c r="K134" s="288">
        <v>6.2</v>
      </c>
      <c r="L134" s="289">
        <f t="shared" si="26"/>
        <v>78134.09090909091</v>
      </c>
      <c r="M134" s="288">
        <v>6</v>
      </c>
      <c r="N134" s="289">
        <f t="shared" si="27"/>
        <v>75613.63636363635</v>
      </c>
      <c r="O134" s="290">
        <v>25</v>
      </c>
      <c r="P134" s="291" t="s">
        <v>1590</v>
      </c>
      <c r="Q134" s="288">
        <v>1.05</v>
      </c>
      <c r="R134" s="289">
        <f aca="true" t="shared" si="29" ref="R134:R141">O134*diezel*Q134</f>
        <v>503522.775</v>
      </c>
      <c r="S134" s="292" t="s">
        <v>360</v>
      </c>
      <c r="T134" s="296">
        <f>'Nhan cong'!M88</f>
        <v>148518.46153846153</v>
      </c>
      <c r="U134" s="250">
        <f>ROUND((J134+L134+N134+R134+T134),0)-1</f>
        <v>1009315</v>
      </c>
      <c r="V134" s="250">
        <v>1030532</v>
      </c>
      <c r="W134" s="250">
        <v>1009315</v>
      </c>
      <c r="X134" s="250">
        <v>978197</v>
      </c>
      <c r="Y134" s="293">
        <v>277250</v>
      </c>
      <c r="Z134" s="294">
        <v>-1</v>
      </c>
      <c r="AA134" s="251"/>
      <c r="AB134" s="251"/>
    </row>
    <row r="135" spans="1:28" s="295" customFormat="1" ht="31.5">
      <c r="A135" s="284">
        <v>109</v>
      </c>
      <c r="B135" s="284">
        <v>0</v>
      </c>
      <c r="C135" s="284" t="s">
        <v>363</v>
      </c>
      <c r="D135" s="284" t="s">
        <v>1706</v>
      </c>
      <c r="E135" s="285" t="s">
        <v>2526</v>
      </c>
      <c r="F135" s="286" t="s">
        <v>364</v>
      </c>
      <c r="G135" s="284">
        <v>220</v>
      </c>
      <c r="H135" s="284">
        <v>17</v>
      </c>
      <c r="I135" s="284">
        <v>0.95</v>
      </c>
      <c r="J135" s="287">
        <f t="shared" si="25"/>
        <v>228632.61363636365</v>
      </c>
      <c r="K135" s="288">
        <v>6.2</v>
      </c>
      <c r="L135" s="289">
        <f t="shared" si="26"/>
        <v>87772.27272727274</v>
      </c>
      <c r="M135" s="288">
        <v>6</v>
      </c>
      <c r="N135" s="289">
        <f t="shared" si="27"/>
        <v>84940.90909090909</v>
      </c>
      <c r="O135" s="290">
        <v>29</v>
      </c>
      <c r="P135" s="291" t="s">
        <v>1590</v>
      </c>
      <c r="Q135" s="288">
        <v>1.05</v>
      </c>
      <c r="R135" s="289">
        <f t="shared" si="29"/>
        <v>584086.4190000001</v>
      </c>
      <c r="S135" s="292" t="s">
        <v>365</v>
      </c>
      <c r="T135" s="296">
        <f>'Nhan cong'!M89</f>
        <v>173451.92307692306</v>
      </c>
      <c r="U135" s="250">
        <f t="shared" si="28"/>
        <v>1158884</v>
      </c>
      <c r="V135" s="250">
        <v>1183663</v>
      </c>
      <c r="W135" s="250">
        <v>1158884</v>
      </c>
      <c r="X135" s="250">
        <v>1122542</v>
      </c>
      <c r="Y135" s="293">
        <v>311450</v>
      </c>
      <c r="Z135" s="294"/>
      <c r="AA135" s="251"/>
      <c r="AB135" s="251"/>
    </row>
    <row r="136" spans="1:28" s="295" customFormat="1" ht="31.5">
      <c r="A136" s="284">
        <v>110</v>
      </c>
      <c r="B136" s="284">
        <v>0</v>
      </c>
      <c r="C136" s="284" t="s">
        <v>366</v>
      </c>
      <c r="D136" s="284" t="s">
        <v>1708</v>
      </c>
      <c r="E136" s="285" t="s">
        <v>2527</v>
      </c>
      <c r="F136" s="286" t="s">
        <v>367</v>
      </c>
      <c r="G136" s="284">
        <v>220</v>
      </c>
      <c r="H136" s="284">
        <v>17</v>
      </c>
      <c r="I136" s="284">
        <v>0.95</v>
      </c>
      <c r="J136" s="287">
        <f t="shared" si="25"/>
        <v>273485.56818181823</v>
      </c>
      <c r="K136" s="288">
        <v>6.2</v>
      </c>
      <c r="L136" s="289">
        <f t="shared" si="26"/>
        <v>104991.36363636363</v>
      </c>
      <c r="M136" s="288">
        <v>6</v>
      </c>
      <c r="N136" s="289">
        <f t="shared" si="27"/>
        <v>101604.54545454546</v>
      </c>
      <c r="O136" s="290">
        <v>31</v>
      </c>
      <c r="P136" s="291" t="s">
        <v>1590</v>
      </c>
      <c r="Q136" s="288">
        <v>1.05</v>
      </c>
      <c r="R136" s="289">
        <f t="shared" si="29"/>
        <v>624368.241</v>
      </c>
      <c r="S136" s="292" t="s">
        <v>365</v>
      </c>
      <c r="T136" s="296">
        <f>'Nhan cong'!M89</f>
        <v>173451.92307692306</v>
      </c>
      <c r="U136" s="250">
        <f>ROUND((J136+L136+N136+R136+T136),0)-1</f>
        <v>1277901</v>
      </c>
      <c r="V136" s="250">
        <v>1302681</v>
      </c>
      <c r="W136" s="250">
        <v>1277901</v>
      </c>
      <c r="X136" s="250">
        <v>1241559</v>
      </c>
      <c r="Y136" s="293">
        <v>372550</v>
      </c>
      <c r="Z136" s="294"/>
      <c r="AA136" s="251"/>
      <c r="AB136" s="251"/>
    </row>
    <row r="137" spans="1:28" s="295" customFormat="1" ht="31.5">
      <c r="A137" s="284">
        <v>111</v>
      </c>
      <c r="B137" s="284">
        <v>0</v>
      </c>
      <c r="C137" s="284" t="s">
        <v>368</v>
      </c>
      <c r="D137" s="284" t="s">
        <v>344</v>
      </c>
      <c r="E137" s="285" t="s">
        <v>2528</v>
      </c>
      <c r="F137" s="286" t="s">
        <v>339</v>
      </c>
      <c r="G137" s="284">
        <v>220</v>
      </c>
      <c r="H137" s="284">
        <v>16</v>
      </c>
      <c r="I137" s="284">
        <v>0.95</v>
      </c>
      <c r="J137" s="287">
        <f t="shared" si="25"/>
        <v>337612.7272727273</v>
      </c>
      <c r="K137" s="288">
        <v>6.2</v>
      </c>
      <c r="L137" s="289">
        <f t="shared" si="26"/>
        <v>137710.45454545456</v>
      </c>
      <c r="M137" s="288">
        <v>6</v>
      </c>
      <c r="N137" s="289">
        <f t="shared" si="27"/>
        <v>133268.18181818182</v>
      </c>
      <c r="O137" s="290">
        <v>38</v>
      </c>
      <c r="P137" s="291" t="s">
        <v>1590</v>
      </c>
      <c r="Q137" s="288">
        <v>1.05</v>
      </c>
      <c r="R137" s="289">
        <f t="shared" si="29"/>
        <v>765354.618</v>
      </c>
      <c r="S137" s="292" t="s">
        <v>369</v>
      </c>
      <c r="T137" s="296">
        <f>'Nhan cong'!M93</f>
        <v>157677.6923076923</v>
      </c>
      <c r="U137" s="250">
        <f>ROUND((J137+L137+N137+R137+T137),0)</f>
        <v>1531624</v>
      </c>
      <c r="V137" s="250">
        <v>1554149</v>
      </c>
      <c r="W137" s="250">
        <v>1531624</v>
      </c>
      <c r="X137" s="250">
        <v>1498586</v>
      </c>
      <c r="Y137" s="293">
        <v>488650</v>
      </c>
      <c r="Z137" s="294"/>
      <c r="AA137" s="251"/>
      <c r="AB137" s="251"/>
    </row>
    <row r="138" spans="1:28" s="295" customFormat="1" ht="31.5">
      <c r="A138" s="284">
        <v>112</v>
      </c>
      <c r="B138" s="284">
        <v>0</v>
      </c>
      <c r="C138" s="284" t="s">
        <v>370</v>
      </c>
      <c r="D138" s="284" t="s">
        <v>355</v>
      </c>
      <c r="E138" s="285" t="s">
        <v>2529</v>
      </c>
      <c r="F138" s="286" t="s">
        <v>371</v>
      </c>
      <c r="G138" s="284">
        <v>220</v>
      </c>
      <c r="H138" s="284">
        <v>16</v>
      </c>
      <c r="I138" s="284">
        <v>0.95</v>
      </c>
      <c r="J138" s="287">
        <f t="shared" si="25"/>
        <v>365214.5454545454</v>
      </c>
      <c r="K138" s="288">
        <v>6.2</v>
      </c>
      <c r="L138" s="289">
        <f t="shared" si="26"/>
        <v>148969.0909090909</v>
      </c>
      <c r="M138" s="288">
        <v>6</v>
      </c>
      <c r="N138" s="289">
        <f t="shared" si="27"/>
        <v>144163.63636363635</v>
      </c>
      <c r="O138" s="290">
        <v>41</v>
      </c>
      <c r="P138" s="291" t="s">
        <v>1590</v>
      </c>
      <c r="Q138" s="288">
        <v>1.05</v>
      </c>
      <c r="R138" s="289">
        <f t="shared" si="29"/>
        <v>825777.351</v>
      </c>
      <c r="S138" s="292" t="s">
        <v>372</v>
      </c>
      <c r="T138" s="296">
        <f>'Nhan cong'!M94</f>
        <v>183120</v>
      </c>
      <c r="U138" s="250">
        <f>ROUND((J138+L138+N138+R138+T138),0)-1</f>
        <v>1667244</v>
      </c>
      <c r="V138" s="250">
        <v>1693405</v>
      </c>
      <c r="W138" s="250">
        <v>1667244</v>
      </c>
      <c r="X138" s="250">
        <v>1628876</v>
      </c>
      <c r="Y138" s="293">
        <v>528600</v>
      </c>
      <c r="Z138" s="294">
        <v>-1</v>
      </c>
      <c r="AA138" s="251"/>
      <c r="AB138" s="251"/>
    </row>
    <row r="139" spans="1:28" s="295" customFormat="1" ht="31.5">
      <c r="A139" s="284">
        <v>113</v>
      </c>
      <c r="B139" s="284">
        <v>0</v>
      </c>
      <c r="C139" s="284" t="s">
        <v>373</v>
      </c>
      <c r="D139" s="284" t="s">
        <v>349</v>
      </c>
      <c r="E139" s="285" t="s">
        <v>2530</v>
      </c>
      <c r="F139" s="286" t="s">
        <v>306</v>
      </c>
      <c r="G139" s="284">
        <v>220</v>
      </c>
      <c r="H139" s="284">
        <v>16</v>
      </c>
      <c r="I139" s="284">
        <v>0.95</v>
      </c>
      <c r="J139" s="287">
        <f t="shared" si="25"/>
        <v>387496.36363636365</v>
      </c>
      <c r="K139" s="288">
        <v>6.2</v>
      </c>
      <c r="L139" s="289">
        <f t="shared" si="26"/>
        <v>158057.72727272724</v>
      </c>
      <c r="M139" s="288">
        <v>6</v>
      </c>
      <c r="N139" s="289">
        <f t="shared" si="27"/>
        <v>152959.0909090909</v>
      </c>
      <c r="O139" s="290">
        <v>42</v>
      </c>
      <c r="P139" s="291" t="s">
        <v>1590</v>
      </c>
      <c r="Q139" s="288">
        <v>1.05</v>
      </c>
      <c r="R139" s="289">
        <f t="shared" si="29"/>
        <v>845918.262</v>
      </c>
      <c r="S139" s="292" t="s">
        <v>372</v>
      </c>
      <c r="T139" s="296">
        <f>+T138</f>
        <v>183120</v>
      </c>
      <c r="U139" s="250">
        <f t="shared" si="28"/>
        <v>1727551</v>
      </c>
      <c r="V139" s="250">
        <v>1753711</v>
      </c>
      <c r="W139" s="250">
        <v>1727551</v>
      </c>
      <c r="X139" s="250">
        <v>1689183</v>
      </c>
      <c r="Y139" s="293">
        <v>560850</v>
      </c>
      <c r="Z139" s="294"/>
      <c r="AA139" s="251"/>
      <c r="AB139" s="251"/>
    </row>
    <row r="140" spans="1:28" s="295" customFormat="1" ht="31.5">
      <c r="A140" s="284">
        <v>114</v>
      </c>
      <c r="B140" s="284">
        <v>0</v>
      </c>
      <c r="C140" s="284" t="s">
        <v>374</v>
      </c>
      <c r="D140" s="284" t="s">
        <v>2998</v>
      </c>
      <c r="E140" s="285" t="s">
        <v>2531</v>
      </c>
      <c r="F140" s="286" t="s">
        <v>375</v>
      </c>
      <c r="G140" s="284">
        <v>220</v>
      </c>
      <c r="H140" s="284">
        <v>16</v>
      </c>
      <c r="I140" s="284">
        <v>0.95</v>
      </c>
      <c r="J140" s="287">
        <f t="shared" si="25"/>
        <v>445636.36363636365</v>
      </c>
      <c r="K140" s="288">
        <v>6.2</v>
      </c>
      <c r="L140" s="289">
        <f t="shared" si="26"/>
        <v>181772.7272727273</v>
      </c>
      <c r="M140" s="288">
        <v>6</v>
      </c>
      <c r="N140" s="289">
        <f t="shared" si="27"/>
        <v>175909.0909090909</v>
      </c>
      <c r="O140" s="290">
        <v>46.2</v>
      </c>
      <c r="P140" s="291" t="s">
        <v>1590</v>
      </c>
      <c r="Q140" s="288">
        <v>1.05</v>
      </c>
      <c r="R140" s="289">
        <f t="shared" si="29"/>
        <v>930510.0882000001</v>
      </c>
      <c r="S140" s="292" t="s">
        <v>372</v>
      </c>
      <c r="T140" s="296">
        <f>+T139</f>
        <v>183120</v>
      </c>
      <c r="U140" s="250">
        <f t="shared" si="28"/>
        <v>1916948</v>
      </c>
      <c r="V140" s="250">
        <v>1943108</v>
      </c>
      <c r="W140" s="250">
        <v>1916948</v>
      </c>
      <c r="X140" s="250">
        <v>1878580</v>
      </c>
      <c r="Y140" s="293">
        <v>645000</v>
      </c>
      <c r="Z140" s="294"/>
      <c r="AA140" s="251"/>
      <c r="AB140" s="251"/>
    </row>
    <row r="141" spans="1:28" s="295" customFormat="1" ht="31.5">
      <c r="A141" s="284">
        <v>115</v>
      </c>
      <c r="B141" s="284">
        <v>0</v>
      </c>
      <c r="C141" s="284" t="s">
        <v>376</v>
      </c>
      <c r="D141" s="284" t="s">
        <v>366</v>
      </c>
      <c r="E141" s="285" t="s">
        <v>2532</v>
      </c>
      <c r="F141" s="286" t="s">
        <v>377</v>
      </c>
      <c r="G141" s="284">
        <v>220</v>
      </c>
      <c r="H141" s="284">
        <v>14</v>
      </c>
      <c r="I141" s="284">
        <v>0.95</v>
      </c>
      <c r="J141" s="287">
        <f t="shared" si="25"/>
        <v>658259.3181818181</v>
      </c>
      <c r="K141" s="288">
        <v>5.44</v>
      </c>
      <c r="L141" s="289">
        <f t="shared" si="26"/>
        <v>269242.9090909091</v>
      </c>
      <c r="M141" s="288">
        <v>6</v>
      </c>
      <c r="N141" s="289">
        <f t="shared" si="27"/>
        <v>296959.0909090909</v>
      </c>
      <c r="O141" s="290">
        <v>56</v>
      </c>
      <c r="P141" s="291" t="s">
        <v>1590</v>
      </c>
      <c r="Q141" s="288">
        <v>1.05</v>
      </c>
      <c r="R141" s="289">
        <f t="shared" si="29"/>
        <v>1127891.016</v>
      </c>
      <c r="S141" s="292" t="s">
        <v>1700</v>
      </c>
      <c r="T141" s="296">
        <f>'Nhan cong'!M99</f>
        <v>193296.92307692306</v>
      </c>
      <c r="U141" s="250">
        <f t="shared" si="28"/>
        <v>2545649</v>
      </c>
      <c r="V141" s="250">
        <v>2573263</v>
      </c>
      <c r="W141" s="250">
        <v>2545649</v>
      </c>
      <c r="X141" s="250">
        <v>2505149</v>
      </c>
      <c r="Y141" s="293">
        <v>1088850</v>
      </c>
      <c r="Z141" s="294"/>
      <c r="AA141" s="251"/>
      <c r="AB141" s="251"/>
    </row>
    <row r="142" spans="1:28" s="295" customFormat="1" ht="15.75">
      <c r="A142" s="297"/>
      <c r="B142" s="284"/>
      <c r="C142" s="298"/>
      <c r="D142" s="284"/>
      <c r="E142" s="272"/>
      <c r="F142" s="151" t="s">
        <v>1701</v>
      </c>
      <c r="G142" s="284"/>
      <c r="H142" s="284"/>
      <c r="I142" s="284"/>
      <c r="J142" s="299"/>
      <c r="K142" s="288"/>
      <c r="L142" s="289"/>
      <c r="M142" s="288"/>
      <c r="N142" s="300"/>
      <c r="O142" s="290"/>
      <c r="P142" s="291"/>
      <c r="Q142" s="288"/>
      <c r="R142" s="300"/>
      <c r="S142" s="292"/>
      <c r="T142" s="296"/>
      <c r="U142" s="250"/>
      <c r="V142" s="250"/>
      <c r="W142" s="250"/>
      <c r="X142" s="250"/>
      <c r="Y142" s="293"/>
      <c r="Z142" s="385"/>
      <c r="AA142" s="251"/>
      <c r="AB142" s="251"/>
    </row>
    <row r="143" spans="1:28" s="295" customFormat="1" ht="31.5">
      <c r="A143" s="284">
        <v>116</v>
      </c>
      <c r="B143" s="284">
        <v>0</v>
      </c>
      <c r="C143" s="284" t="s">
        <v>1702</v>
      </c>
      <c r="D143" s="284" t="s">
        <v>1764</v>
      </c>
      <c r="E143" s="285" t="s">
        <v>2533</v>
      </c>
      <c r="F143" s="286" t="s">
        <v>356</v>
      </c>
      <c r="G143" s="284">
        <v>260</v>
      </c>
      <c r="H143" s="284">
        <v>17</v>
      </c>
      <c r="I143" s="284">
        <v>0.95</v>
      </c>
      <c r="J143" s="287">
        <f aca="true" t="shared" si="30" ref="J143:J160">Y143*H143%*I143/G143*1000</f>
        <v>134417.6923076923</v>
      </c>
      <c r="K143" s="288">
        <v>7.5</v>
      </c>
      <c r="L143" s="289">
        <f aca="true" t="shared" si="31" ref="L143:L160">(Y143*K143%)/G143*1000</f>
        <v>62423.07692307692</v>
      </c>
      <c r="M143" s="288">
        <v>6</v>
      </c>
      <c r="N143" s="289">
        <f aca="true" t="shared" si="32" ref="N143:N160">(Y143*M143%)/G143*1000</f>
        <v>49938.46153846154</v>
      </c>
      <c r="O143" s="290">
        <v>18.9</v>
      </c>
      <c r="P143" s="291" t="s">
        <v>294</v>
      </c>
      <c r="Q143" s="288">
        <v>1.03</v>
      </c>
      <c r="R143" s="289">
        <f>O143*xang*Q143</f>
        <v>376951.97988</v>
      </c>
      <c r="S143" s="292" t="s">
        <v>1703</v>
      </c>
      <c r="T143" s="296">
        <f>'Nhan cong'!M83</f>
        <v>138850.38461538462</v>
      </c>
      <c r="U143" s="250">
        <f>ROUND((J143+L143+N143+R143+T143),0)-1</f>
        <v>762581</v>
      </c>
      <c r="V143" s="250">
        <v>782417</v>
      </c>
      <c r="W143" s="250">
        <v>762581</v>
      </c>
      <c r="X143" s="250">
        <v>733489</v>
      </c>
      <c r="Y143" s="293">
        <v>216400</v>
      </c>
      <c r="Z143" s="294">
        <v>-1</v>
      </c>
      <c r="AA143" s="251"/>
      <c r="AB143" s="251"/>
    </row>
    <row r="144" spans="1:28" s="295" customFormat="1" ht="31.5">
      <c r="A144" s="284">
        <v>117</v>
      </c>
      <c r="B144" s="284">
        <v>0</v>
      </c>
      <c r="C144" s="284" t="s">
        <v>1704</v>
      </c>
      <c r="D144" s="284" t="s">
        <v>1786</v>
      </c>
      <c r="E144" s="285" t="s">
        <v>2534</v>
      </c>
      <c r="F144" s="286" t="s">
        <v>1705</v>
      </c>
      <c r="G144" s="284">
        <v>260</v>
      </c>
      <c r="H144" s="284">
        <v>17</v>
      </c>
      <c r="I144" s="284">
        <v>0.95</v>
      </c>
      <c r="J144" s="287">
        <f t="shared" si="30"/>
        <v>157058.75</v>
      </c>
      <c r="K144" s="288">
        <v>7.5</v>
      </c>
      <c r="L144" s="289">
        <f t="shared" si="31"/>
        <v>72937.5</v>
      </c>
      <c r="M144" s="288">
        <v>6</v>
      </c>
      <c r="N144" s="289">
        <f t="shared" si="32"/>
        <v>58350</v>
      </c>
      <c r="O144" s="290">
        <v>28.35</v>
      </c>
      <c r="P144" s="291" t="s">
        <v>294</v>
      </c>
      <c r="Q144" s="288">
        <v>1.03</v>
      </c>
      <c r="R144" s="289">
        <f>O144*xang*Q144</f>
        <v>565427.96982</v>
      </c>
      <c r="S144" s="292" t="s">
        <v>1703</v>
      </c>
      <c r="T144" s="296">
        <f>'Nhan cong'!M83</f>
        <v>138850.38461538462</v>
      </c>
      <c r="U144" s="250">
        <f>ROUND((J144+L144+N144+R144+T144),0)-1</f>
        <v>992624</v>
      </c>
      <c r="V144" s="250">
        <v>1012460</v>
      </c>
      <c r="W144" s="250">
        <v>992624</v>
      </c>
      <c r="X144" s="250">
        <v>963532</v>
      </c>
      <c r="Y144" s="293">
        <v>252850</v>
      </c>
      <c r="Z144" s="294">
        <v>-1</v>
      </c>
      <c r="AA144" s="251"/>
      <c r="AB144" s="251"/>
    </row>
    <row r="145" spans="1:28" s="295" customFormat="1" ht="31.5">
      <c r="A145" s="284">
        <v>118</v>
      </c>
      <c r="B145" s="284">
        <v>0</v>
      </c>
      <c r="C145" s="284" t="s">
        <v>1706</v>
      </c>
      <c r="D145" s="284" t="s">
        <v>1806</v>
      </c>
      <c r="E145" s="285" t="s">
        <v>2535</v>
      </c>
      <c r="F145" s="286" t="s">
        <v>359</v>
      </c>
      <c r="G145" s="284">
        <v>260</v>
      </c>
      <c r="H145" s="284">
        <v>17</v>
      </c>
      <c r="I145" s="284">
        <v>0.95</v>
      </c>
      <c r="J145" s="287">
        <f t="shared" si="30"/>
        <v>175724.42307692306</v>
      </c>
      <c r="K145" s="288">
        <v>7.5</v>
      </c>
      <c r="L145" s="289">
        <f t="shared" si="31"/>
        <v>81605.76923076922</v>
      </c>
      <c r="M145" s="288">
        <v>6</v>
      </c>
      <c r="N145" s="289">
        <f t="shared" si="32"/>
        <v>65284.615384615376</v>
      </c>
      <c r="O145" s="290">
        <v>32.4</v>
      </c>
      <c r="P145" s="291" t="s">
        <v>294</v>
      </c>
      <c r="Q145" s="288">
        <v>1.03</v>
      </c>
      <c r="R145" s="289">
        <f>O145*xang*Q145</f>
        <v>646203.39408</v>
      </c>
      <c r="S145" s="292" t="s">
        <v>360</v>
      </c>
      <c r="T145" s="296">
        <f>'Nhan cong'!M88</f>
        <v>148518.46153846153</v>
      </c>
      <c r="U145" s="250">
        <f>ROUND((J145+L145+N145+R145+T145),0)-1</f>
        <v>1117336</v>
      </c>
      <c r="V145" s="250">
        <v>1138553</v>
      </c>
      <c r="W145" s="250">
        <v>1117336</v>
      </c>
      <c r="X145" s="250">
        <v>1086218</v>
      </c>
      <c r="Y145" s="293">
        <v>282900</v>
      </c>
      <c r="Z145" s="294">
        <v>-1</v>
      </c>
      <c r="AA145" s="251"/>
      <c r="AB145" s="251"/>
    </row>
    <row r="146" spans="1:28" s="295" customFormat="1" ht="31.5">
      <c r="A146" s="284">
        <v>119</v>
      </c>
      <c r="B146" s="284" t="s">
        <v>668</v>
      </c>
      <c r="C146" s="284" t="s">
        <v>1707</v>
      </c>
      <c r="D146" s="284" t="s">
        <v>1814</v>
      </c>
      <c r="E146" s="285" t="s">
        <v>2536</v>
      </c>
      <c r="F146" s="286" t="s">
        <v>362</v>
      </c>
      <c r="G146" s="284">
        <v>260</v>
      </c>
      <c r="H146" s="284">
        <v>17</v>
      </c>
      <c r="I146" s="284">
        <v>0.95</v>
      </c>
      <c r="J146" s="287">
        <f t="shared" si="30"/>
        <v>215509.32692307694</v>
      </c>
      <c r="K146" s="288">
        <v>7.5</v>
      </c>
      <c r="L146" s="289">
        <f t="shared" si="31"/>
        <v>100081.73076923078</v>
      </c>
      <c r="M146" s="288">
        <v>6</v>
      </c>
      <c r="N146" s="289">
        <f t="shared" si="32"/>
        <v>80065.38461538461</v>
      </c>
      <c r="O146" s="290">
        <v>40.5</v>
      </c>
      <c r="P146" s="291" t="s">
        <v>1590</v>
      </c>
      <c r="Q146" s="288">
        <v>1.05</v>
      </c>
      <c r="R146" s="289">
        <f aca="true" t="shared" si="33" ref="R146:R160">O146*diezel*Q146</f>
        <v>815706.8955</v>
      </c>
      <c r="S146" s="292" t="s">
        <v>360</v>
      </c>
      <c r="T146" s="296">
        <f>'Nhan cong'!M88</f>
        <v>148518.46153846153</v>
      </c>
      <c r="U146" s="250">
        <f>ROUND((J146+L146+N146+R146+T146),0)-1</f>
        <v>1359881</v>
      </c>
      <c r="V146" s="250">
        <v>1381098</v>
      </c>
      <c r="W146" s="250">
        <v>1359881</v>
      </c>
      <c r="X146" s="250">
        <v>1328763</v>
      </c>
      <c r="Y146" s="293">
        <v>346950</v>
      </c>
      <c r="Z146" s="294">
        <v>-1</v>
      </c>
      <c r="AA146" s="251"/>
      <c r="AB146" s="251"/>
    </row>
    <row r="147" spans="1:28" s="295" customFormat="1" ht="31.5">
      <c r="A147" s="284">
        <v>120</v>
      </c>
      <c r="B147" s="284">
        <v>0</v>
      </c>
      <c r="C147" s="284" t="s">
        <v>1708</v>
      </c>
      <c r="D147" s="284" t="s">
        <v>1819</v>
      </c>
      <c r="E147" s="285" t="s">
        <v>2537</v>
      </c>
      <c r="F147" s="286" t="s">
        <v>364</v>
      </c>
      <c r="G147" s="284">
        <v>260</v>
      </c>
      <c r="H147" s="284">
        <v>17</v>
      </c>
      <c r="I147" s="284">
        <v>0.95</v>
      </c>
      <c r="J147" s="287">
        <f t="shared" si="30"/>
        <v>248368.36538461538</v>
      </c>
      <c r="K147" s="288">
        <v>7.3</v>
      </c>
      <c r="L147" s="289">
        <f t="shared" si="31"/>
        <v>112265.57692307692</v>
      </c>
      <c r="M147" s="288">
        <v>6</v>
      </c>
      <c r="N147" s="289">
        <f t="shared" si="32"/>
        <v>92273.07692307692</v>
      </c>
      <c r="O147" s="290">
        <v>43.2</v>
      </c>
      <c r="P147" s="291" t="s">
        <v>1590</v>
      </c>
      <c r="Q147" s="288">
        <v>1.05</v>
      </c>
      <c r="R147" s="289">
        <f t="shared" si="33"/>
        <v>870087.3552000001</v>
      </c>
      <c r="S147" s="292" t="s">
        <v>365</v>
      </c>
      <c r="T147" s="296">
        <f>'Nhan cong'!M89</f>
        <v>173451.92307692306</v>
      </c>
      <c r="U147" s="250">
        <f>ROUND((J147+L147+N147+R147+T147),0)</f>
        <v>1496446</v>
      </c>
      <c r="V147" s="250">
        <v>1521225</v>
      </c>
      <c r="W147" s="250">
        <v>1496446</v>
      </c>
      <c r="X147" s="250">
        <v>1460104</v>
      </c>
      <c r="Y147" s="293">
        <v>399850</v>
      </c>
      <c r="Z147" s="294"/>
      <c r="AA147" s="251"/>
      <c r="AB147" s="251"/>
    </row>
    <row r="148" spans="1:28" s="295" customFormat="1" ht="31.5">
      <c r="A148" s="284">
        <v>121</v>
      </c>
      <c r="B148" s="284" t="s">
        <v>669</v>
      </c>
      <c r="C148" s="284" t="s">
        <v>1709</v>
      </c>
      <c r="D148" s="284" t="s">
        <v>1823</v>
      </c>
      <c r="E148" s="285" t="s">
        <v>2538</v>
      </c>
      <c r="F148" s="286" t="s">
        <v>367</v>
      </c>
      <c r="G148" s="284">
        <v>260</v>
      </c>
      <c r="H148" s="284">
        <v>17</v>
      </c>
      <c r="I148" s="284">
        <v>0.95</v>
      </c>
      <c r="J148" s="287">
        <f t="shared" si="30"/>
        <v>303713.1730769231</v>
      </c>
      <c r="K148" s="288">
        <v>7.3</v>
      </c>
      <c r="L148" s="289">
        <f t="shared" si="31"/>
        <v>137282.11538461538</v>
      </c>
      <c r="M148" s="288">
        <v>6</v>
      </c>
      <c r="N148" s="289">
        <f t="shared" si="32"/>
        <v>112834.61538461539</v>
      </c>
      <c r="O148" s="290">
        <v>45.9</v>
      </c>
      <c r="P148" s="291" t="s">
        <v>1590</v>
      </c>
      <c r="Q148" s="288">
        <v>1.05</v>
      </c>
      <c r="R148" s="289">
        <f t="shared" si="33"/>
        <v>924467.8149</v>
      </c>
      <c r="S148" s="292" t="s">
        <v>365</v>
      </c>
      <c r="T148" s="296">
        <f>'Nhan cong'!M89</f>
        <v>173451.92307692306</v>
      </c>
      <c r="U148" s="250">
        <f>ROUND((J148+L148+N148+R148+T148),0)-1</f>
        <v>1651749</v>
      </c>
      <c r="V148" s="250">
        <v>1676529</v>
      </c>
      <c r="W148" s="250">
        <v>1651749</v>
      </c>
      <c r="X148" s="250">
        <v>1615407</v>
      </c>
      <c r="Y148" s="293">
        <v>488950</v>
      </c>
      <c r="Z148" s="294">
        <v>-1</v>
      </c>
      <c r="AA148" s="251"/>
      <c r="AB148" s="251"/>
    </row>
    <row r="149" spans="1:28" s="295" customFormat="1" ht="31.5">
      <c r="A149" s="284">
        <v>122</v>
      </c>
      <c r="B149" s="284">
        <v>0</v>
      </c>
      <c r="C149" s="284" t="s">
        <v>1710</v>
      </c>
      <c r="D149" s="284" t="s">
        <v>1828</v>
      </c>
      <c r="E149" s="285" t="s">
        <v>2539</v>
      </c>
      <c r="F149" s="286" t="s">
        <v>304</v>
      </c>
      <c r="G149" s="284">
        <v>260</v>
      </c>
      <c r="H149" s="284">
        <v>17</v>
      </c>
      <c r="I149" s="284">
        <v>0.95</v>
      </c>
      <c r="J149" s="287">
        <f t="shared" si="30"/>
        <v>349554.32692307694</v>
      </c>
      <c r="K149" s="288">
        <v>7.3</v>
      </c>
      <c r="L149" s="289">
        <f t="shared" si="31"/>
        <v>158002.8846153846</v>
      </c>
      <c r="M149" s="288">
        <v>6</v>
      </c>
      <c r="N149" s="289">
        <f t="shared" si="32"/>
        <v>129865.38461538461</v>
      </c>
      <c r="O149" s="290">
        <v>51.3</v>
      </c>
      <c r="P149" s="291" t="s">
        <v>1590</v>
      </c>
      <c r="Q149" s="288">
        <v>1.05</v>
      </c>
      <c r="R149" s="289">
        <f t="shared" si="33"/>
        <v>1033228.7343</v>
      </c>
      <c r="S149" s="292" t="s">
        <v>1711</v>
      </c>
      <c r="T149" s="296">
        <f>'Nhan cong'!M93</f>
        <v>157677.6923076923</v>
      </c>
      <c r="U149" s="250">
        <f>ROUND((J149+L149+N149+R149+T149),0)</f>
        <v>1828329</v>
      </c>
      <c r="V149" s="250">
        <v>1850854</v>
      </c>
      <c r="W149" s="250">
        <v>1828329</v>
      </c>
      <c r="X149" s="250">
        <v>1795291</v>
      </c>
      <c r="Y149" s="293">
        <v>562750</v>
      </c>
      <c r="Z149" s="294"/>
      <c r="AA149" s="251"/>
      <c r="AB149" s="251"/>
    </row>
    <row r="150" spans="1:28" s="295" customFormat="1" ht="31.5">
      <c r="A150" s="284">
        <v>123</v>
      </c>
      <c r="B150" s="284" t="s">
        <v>663</v>
      </c>
      <c r="C150" s="284" t="s">
        <v>1712</v>
      </c>
      <c r="D150" s="284" t="s">
        <v>1742</v>
      </c>
      <c r="E150" s="285" t="s">
        <v>2540</v>
      </c>
      <c r="F150" s="286" t="s">
        <v>339</v>
      </c>
      <c r="G150" s="284">
        <v>260</v>
      </c>
      <c r="H150" s="284">
        <v>17</v>
      </c>
      <c r="I150" s="284">
        <v>0.95</v>
      </c>
      <c r="J150" s="287">
        <f t="shared" si="30"/>
        <v>381450.57692307694</v>
      </c>
      <c r="K150" s="288">
        <v>7.3</v>
      </c>
      <c r="L150" s="289">
        <f t="shared" si="31"/>
        <v>172420.3846153846</v>
      </c>
      <c r="M150" s="288">
        <v>6</v>
      </c>
      <c r="N150" s="289">
        <f t="shared" si="32"/>
        <v>141715.3846153846</v>
      </c>
      <c r="O150" s="290">
        <v>56.7</v>
      </c>
      <c r="P150" s="291" t="s">
        <v>1590</v>
      </c>
      <c r="Q150" s="288">
        <v>1.05</v>
      </c>
      <c r="R150" s="289">
        <f t="shared" si="33"/>
        <v>1141989.6537000001</v>
      </c>
      <c r="S150" s="292" t="s">
        <v>1711</v>
      </c>
      <c r="T150" s="296">
        <f>'Nhan cong'!M93</f>
        <v>157677.6923076923</v>
      </c>
      <c r="U150" s="250">
        <f>ROUND((J150+L150+N150+R150+T150),0)-1</f>
        <v>1995253</v>
      </c>
      <c r="V150" s="250">
        <v>2017779</v>
      </c>
      <c r="W150" s="250">
        <v>1995253</v>
      </c>
      <c r="X150" s="250">
        <v>1962215</v>
      </c>
      <c r="Y150" s="293">
        <v>614100</v>
      </c>
      <c r="Z150" s="294">
        <v>-1</v>
      </c>
      <c r="AA150" s="251"/>
      <c r="AB150" s="251"/>
    </row>
    <row r="151" spans="1:28" s="295" customFormat="1" ht="31.5">
      <c r="A151" s="284">
        <v>124</v>
      </c>
      <c r="B151" s="284" t="s">
        <v>664</v>
      </c>
      <c r="C151" s="284" t="s">
        <v>1713</v>
      </c>
      <c r="D151" s="284" t="s">
        <v>1747</v>
      </c>
      <c r="E151" s="285" t="s">
        <v>2541</v>
      </c>
      <c r="F151" s="286" t="s">
        <v>371</v>
      </c>
      <c r="G151" s="284">
        <v>260</v>
      </c>
      <c r="H151" s="284">
        <v>17</v>
      </c>
      <c r="I151" s="284">
        <v>0.95</v>
      </c>
      <c r="J151" s="287">
        <f t="shared" si="30"/>
        <v>440149.6153846154</v>
      </c>
      <c r="K151" s="288">
        <v>7.3</v>
      </c>
      <c r="L151" s="289">
        <f t="shared" si="31"/>
        <v>198953.0769230769</v>
      </c>
      <c r="M151" s="288">
        <v>6</v>
      </c>
      <c r="N151" s="289">
        <f t="shared" si="32"/>
        <v>163523.07692307694</v>
      </c>
      <c r="O151" s="290">
        <v>64.8</v>
      </c>
      <c r="P151" s="291" t="s">
        <v>1590</v>
      </c>
      <c r="Q151" s="288">
        <v>1.05</v>
      </c>
      <c r="R151" s="289">
        <f t="shared" si="33"/>
        <v>1305131.0328</v>
      </c>
      <c r="S151" s="292" t="s">
        <v>372</v>
      </c>
      <c r="T151" s="296">
        <f>'Nhan cong'!M94</f>
        <v>183120</v>
      </c>
      <c r="U151" s="250">
        <f>ROUND((J151+L151+N151+R151+T151),0)-1</f>
        <v>2290876</v>
      </c>
      <c r="V151" s="250">
        <v>2317037</v>
      </c>
      <c r="W151" s="250">
        <v>2290876</v>
      </c>
      <c r="X151" s="250">
        <v>2252508</v>
      </c>
      <c r="Y151" s="293">
        <v>708600</v>
      </c>
      <c r="Z151" s="294">
        <v>-1</v>
      </c>
      <c r="AA151" s="251"/>
      <c r="AB151" s="251"/>
    </row>
    <row r="152" spans="1:28" s="295" customFormat="1" ht="31.5">
      <c r="A152" s="284">
        <v>125</v>
      </c>
      <c r="B152" s="284" t="s">
        <v>665</v>
      </c>
      <c r="C152" s="284" t="s">
        <v>1714</v>
      </c>
      <c r="D152" s="284" t="s">
        <v>1752</v>
      </c>
      <c r="E152" s="285" t="s">
        <v>2542</v>
      </c>
      <c r="F152" s="286" t="s">
        <v>375</v>
      </c>
      <c r="G152" s="284">
        <v>260</v>
      </c>
      <c r="H152" s="284">
        <v>16</v>
      </c>
      <c r="I152" s="284">
        <v>0.95</v>
      </c>
      <c r="J152" s="287">
        <f t="shared" si="30"/>
        <v>527966.1538461539</v>
      </c>
      <c r="K152" s="288">
        <v>6.8</v>
      </c>
      <c r="L152" s="289">
        <f t="shared" si="31"/>
        <v>236195.38461538462</v>
      </c>
      <c r="M152" s="288">
        <v>6</v>
      </c>
      <c r="N152" s="289">
        <f t="shared" si="32"/>
        <v>208407.6923076923</v>
      </c>
      <c r="O152" s="290">
        <v>72.9</v>
      </c>
      <c r="P152" s="291" t="s">
        <v>1590</v>
      </c>
      <c r="Q152" s="288">
        <v>1.05</v>
      </c>
      <c r="R152" s="289">
        <f t="shared" si="33"/>
        <v>1468272.4119000002</v>
      </c>
      <c r="S152" s="292" t="s">
        <v>372</v>
      </c>
      <c r="T152" s="296">
        <f>'Nhan cong'!M94</f>
        <v>183120</v>
      </c>
      <c r="U152" s="250">
        <f>ROUND((J152+L152+N152+R152+T152),0)-1</f>
        <v>2623961</v>
      </c>
      <c r="V152" s="250">
        <v>2650122</v>
      </c>
      <c r="W152" s="250">
        <v>2623961</v>
      </c>
      <c r="X152" s="250">
        <v>2585594</v>
      </c>
      <c r="Y152" s="293">
        <v>903100</v>
      </c>
      <c r="Z152" s="294">
        <v>-1</v>
      </c>
      <c r="AA152" s="251"/>
      <c r="AB152" s="251"/>
    </row>
    <row r="153" spans="1:28" s="295" customFormat="1" ht="31.5">
      <c r="A153" s="284">
        <v>126</v>
      </c>
      <c r="B153" s="284">
        <v>0</v>
      </c>
      <c r="C153" s="284" t="s">
        <v>1715</v>
      </c>
      <c r="D153" s="284" t="s">
        <v>1768</v>
      </c>
      <c r="E153" s="285" t="s">
        <v>2543</v>
      </c>
      <c r="F153" s="286" t="s">
        <v>377</v>
      </c>
      <c r="G153" s="284">
        <v>300</v>
      </c>
      <c r="H153" s="284">
        <v>16</v>
      </c>
      <c r="I153" s="284">
        <v>0.95</v>
      </c>
      <c r="J153" s="287">
        <f t="shared" si="30"/>
        <v>680757.3333333333</v>
      </c>
      <c r="K153" s="288">
        <v>6.8</v>
      </c>
      <c r="L153" s="289">
        <f t="shared" si="31"/>
        <v>304549.3333333333</v>
      </c>
      <c r="M153" s="288">
        <v>6</v>
      </c>
      <c r="N153" s="289">
        <f t="shared" si="32"/>
        <v>268720</v>
      </c>
      <c r="O153" s="290">
        <v>75.6</v>
      </c>
      <c r="P153" s="291" t="s">
        <v>1590</v>
      </c>
      <c r="Q153" s="288">
        <v>1.05</v>
      </c>
      <c r="R153" s="289">
        <f t="shared" si="33"/>
        <v>1522652.8716</v>
      </c>
      <c r="S153" s="292" t="s">
        <v>1700</v>
      </c>
      <c r="T153" s="296">
        <f>'Nhan cong'!M99</f>
        <v>193296.92307692306</v>
      </c>
      <c r="U153" s="250">
        <f>ROUND((J153+L153+N153+R153+T153),0)</f>
        <v>2969976</v>
      </c>
      <c r="V153" s="250">
        <v>2997591</v>
      </c>
      <c r="W153" s="250">
        <v>2969976</v>
      </c>
      <c r="X153" s="250">
        <v>2929477</v>
      </c>
      <c r="Y153" s="293">
        <v>1343600</v>
      </c>
      <c r="Z153" s="294"/>
      <c r="AA153" s="251"/>
      <c r="AB153" s="251"/>
    </row>
    <row r="154" spans="1:28" s="295" customFormat="1" ht="31.5">
      <c r="A154" s="284">
        <v>127</v>
      </c>
      <c r="B154" s="284" t="s">
        <v>666</v>
      </c>
      <c r="C154" s="284" t="s">
        <v>1716</v>
      </c>
      <c r="D154" s="284" t="s">
        <v>1772</v>
      </c>
      <c r="E154" s="285" t="s">
        <v>2544</v>
      </c>
      <c r="F154" s="286" t="s">
        <v>1717</v>
      </c>
      <c r="G154" s="284">
        <v>300</v>
      </c>
      <c r="H154" s="284">
        <v>16</v>
      </c>
      <c r="I154" s="284">
        <v>0.95</v>
      </c>
      <c r="J154" s="287">
        <f t="shared" si="30"/>
        <v>796429.3333333333</v>
      </c>
      <c r="K154" s="288">
        <v>6.8</v>
      </c>
      <c r="L154" s="289">
        <f t="shared" si="31"/>
        <v>356297.3333333334</v>
      </c>
      <c r="M154" s="288">
        <v>6</v>
      </c>
      <c r="N154" s="289">
        <f t="shared" si="32"/>
        <v>314380</v>
      </c>
      <c r="O154" s="290">
        <v>76.95</v>
      </c>
      <c r="P154" s="291" t="s">
        <v>1590</v>
      </c>
      <c r="Q154" s="288">
        <v>1.05</v>
      </c>
      <c r="R154" s="289">
        <f t="shared" si="33"/>
        <v>1549843.1014500002</v>
      </c>
      <c r="S154" s="292" t="s">
        <v>1700</v>
      </c>
      <c r="T154" s="296">
        <f>'Nhan cong'!M99</f>
        <v>193296.92307692306</v>
      </c>
      <c r="U154" s="250">
        <f>ROUND((J154+L154+N154+R154+T154),0)-1</f>
        <v>3210246</v>
      </c>
      <c r="V154" s="250">
        <v>3237861</v>
      </c>
      <c r="W154" s="250">
        <v>3210248</v>
      </c>
      <c r="X154" s="250">
        <v>3169747</v>
      </c>
      <c r="Y154" s="293">
        <v>1571900</v>
      </c>
      <c r="Z154" s="294">
        <v>-1</v>
      </c>
      <c r="AA154" s="251"/>
      <c r="AB154" s="251"/>
    </row>
    <row r="155" spans="1:28" s="295" customFormat="1" ht="31.5">
      <c r="A155" s="284">
        <v>128</v>
      </c>
      <c r="B155" s="284">
        <v>0</v>
      </c>
      <c r="C155" s="284" t="s">
        <v>1718</v>
      </c>
      <c r="D155" s="284" t="s">
        <v>1776</v>
      </c>
      <c r="E155" s="285" t="s">
        <v>2545</v>
      </c>
      <c r="F155" s="286" t="s">
        <v>310</v>
      </c>
      <c r="G155" s="284">
        <v>300</v>
      </c>
      <c r="H155" s="284">
        <v>14</v>
      </c>
      <c r="I155" s="284">
        <v>0.95</v>
      </c>
      <c r="J155" s="287">
        <f t="shared" si="30"/>
        <v>905375.3333333333</v>
      </c>
      <c r="K155" s="288">
        <v>6.8</v>
      </c>
      <c r="L155" s="289">
        <f t="shared" si="31"/>
        <v>462898.6666666667</v>
      </c>
      <c r="M155" s="288">
        <v>6</v>
      </c>
      <c r="N155" s="289">
        <f t="shared" si="32"/>
        <v>408440</v>
      </c>
      <c r="O155" s="290">
        <v>81</v>
      </c>
      <c r="P155" s="291" t="s">
        <v>1590</v>
      </c>
      <c r="Q155" s="288">
        <v>1.05</v>
      </c>
      <c r="R155" s="289">
        <f t="shared" si="33"/>
        <v>1631413.791</v>
      </c>
      <c r="S155" s="292" t="s">
        <v>1719</v>
      </c>
      <c r="T155" s="296">
        <f>'Nhan cong'!M104</f>
        <v>217212.6923076923</v>
      </c>
      <c r="U155" s="250">
        <f>ROUND((J155+L155+N155+R155+T155),0)</f>
        <v>3625340</v>
      </c>
      <c r="V155" s="250">
        <v>3656371</v>
      </c>
      <c r="W155" s="250">
        <v>3625340</v>
      </c>
      <c r="X155" s="250">
        <v>3579829</v>
      </c>
      <c r="Y155" s="293">
        <v>2042200</v>
      </c>
      <c r="Z155" s="294"/>
      <c r="AA155" s="251"/>
      <c r="AB155" s="251"/>
    </row>
    <row r="156" spans="1:28" s="295" customFormat="1" ht="31.5">
      <c r="A156" s="284">
        <v>129</v>
      </c>
      <c r="B156" s="284" t="s">
        <v>667</v>
      </c>
      <c r="C156" s="284" t="s">
        <v>1720</v>
      </c>
      <c r="D156" s="284" t="s">
        <v>1782</v>
      </c>
      <c r="E156" s="285" t="s">
        <v>2546</v>
      </c>
      <c r="F156" s="286" t="s">
        <v>1721</v>
      </c>
      <c r="G156" s="284">
        <v>300</v>
      </c>
      <c r="H156" s="284">
        <v>14</v>
      </c>
      <c r="I156" s="284">
        <v>0.95</v>
      </c>
      <c r="J156" s="287">
        <f t="shared" si="30"/>
        <v>1064798</v>
      </c>
      <c r="K156" s="288">
        <v>6.6</v>
      </c>
      <c r="L156" s="289">
        <f t="shared" si="31"/>
        <v>528396.0000000001</v>
      </c>
      <c r="M156" s="288">
        <v>6</v>
      </c>
      <c r="N156" s="289">
        <f t="shared" si="32"/>
        <v>480360</v>
      </c>
      <c r="O156" s="290">
        <v>86.4</v>
      </c>
      <c r="P156" s="291" t="s">
        <v>1590</v>
      </c>
      <c r="Q156" s="288">
        <v>1.05</v>
      </c>
      <c r="R156" s="289">
        <f t="shared" si="33"/>
        <v>1740174.7104000002</v>
      </c>
      <c r="S156" s="292" t="s">
        <v>1719</v>
      </c>
      <c r="T156" s="296">
        <f>T155</f>
        <v>217212.6923076923</v>
      </c>
      <c r="U156" s="250">
        <f>ROUND((J156+L156+N156+R156+T156),0)</f>
        <v>4030941</v>
      </c>
      <c r="V156" s="250">
        <v>4061972</v>
      </c>
      <c r="W156" s="250">
        <v>4030941</v>
      </c>
      <c r="X156" s="250">
        <v>3985430</v>
      </c>
      <c r="Y156" s="293">
        <v>2401800</v>
      </c>
      <c r="Z156" s="294"/>
      <c r="AA156" s="251"/>
      <c r="AB156" s="251"/>
    </row>
    <row r="157" spans="1:28" s="295" customFormat="1" ht="31.5">
      <c r="A157" s="284">
        <v>130</v>
      </c>
      <c r="B157" s="284">
        <v>0</v>
      </c>
      <c r="C157" s="284" t="s">
        <v>1722</v>
      </c>
      <c r="D157" s="284" t="s">
        <v>1790</v>
      </c>
      <c r="E157" s="285" t="s">
        <v>2547</v>
      </c>
      <c r="F157" s="286" t="s">
        <v>1723</v>
      </c>
      <c r="G157" s="284">
        <v>300</v>
      </c>
      <c r="H157" s="284">
        <v>14</v>
      </c>
      <c r="I157" s="284">
        <v>0.95</v>
      </c>
      <c r="J157" s="287">
        <f t="shared" si="30"/>
        <v>1496604.6666666667</v>
      </c>
      <c r="K157" s="288">
        <v>6.6</v>
      </c>
      <c r="L157" s="289">
        <f t="shared" si="31"/>
        <v>742676</v>
      </c>
      <c r="M157" s="288">
        <v>6</v>
      </c>
      <c r="N157" s="289">
        <f t="shared" si="32"/>
        <v>675160</v>
      </c>
      <c r="O157" s="290">
        <v>91.68</v>
      </c>
      <c r="P157" s="291" t="s">
        <v>1590</v>
      </c>
      <c r="Q157" s="288">
        <v>1.05</v>
      </c>
      <c r="R157" s="289">
        <f t="shared" si="33"/>
        <v>1846518.7204800001</v>
      </c>
      <c r="S157" s="292" t="s">
        <v>1719</v>
      </c>
      <c r="T157" s="296">
        <f>T155</f>
        <v>217212.6923076923</v>
      </c>
      <c r="U157" s="250">
        <f>ROUND((J157+L157+N157+R157+T157),0)-1</f>
        <v>4978171</v>
      </c>
      <c r="V157" s="250">
        <v>5009202</v>
      </c>
      <c r="W157" s="250">
        <v>4978171</v>
      </c>
      <c r="X157" s="250">
        <v>4932660</v>
      </c>
      <c r="Y157" s="293">
        <v>3375800</v>
      </c>
      <c r="Z157" s="294">
        <v>-1</v>
      </c>
      <c r="AA157" s="251"/>
      <c r="AB157" s="251"/>
    </row>
    <row r="158" spans="1:28" s="295" customFormat="1" ht="31.5">
      <c r="A158" s="284">
        <v>131</v>
      </c>
      <c r="B158" s="284">
        <v>0</v>
      </c>
      <c r="C158" s="284" t="s">
        <v>1724</v>
      </c>
      <c r="D158" s="284" t="s">
        <v>1794</v>
      </c>
      <c r="E158" s="285" t="s">
        <v>2548</v>
      </c>
      <c r="F158" s="286" t="s">
        <v>1725</v>
      </c>
      <c r="G158" s="284">
        <v>300</v>
      </c>
      <c r="H158" s="284">
        <v>14</v>
      </c>
      <c r="I158" s="284">
        <v>0.95</v>
      </c>
      <c r="J158" s="287">
        <f t="shared" si="30"/>
        <v>1867275.6666666665</v>
      </c>
      <c r="K158" s="288">
        <v>6.6</v>
      </c>
      <c r="L158" s="289">
        <f t="shared" si="31"/>
        <v>926618</v>
      </c>
      <c r="M158" s="288">
        <v>6</v>
      </c>
      <c r="N158" s="289">
        <f t="shared" si="32"/>
        <v>842380</v>
      </c>
      <c r="O158" s="290">
        <v>116.4</v>
      </c>
      <c r="P158" s="291" t="s">
        <v>1590</v>
      </c>
      <c r="Q158" s="288">
        <v>1.05</v>
      </c>
      <c r="R158" s="289">
        <f t="shared" si="33"/>
        <v>2344402.0404000003</v>
      </c>
      <c r="S158" s="292" t="s">
        <v>1719</v>
      </c>
      <c r="T158" s="296">
        <f>T155</f>
        <v>217212.6923076923</v>
      </c>
      <c r="U158" s="250">
        <f>ROUND((J158+L158+N158+R158+T158),0)-1</f>
        <v>6197887</v>
      </c>
      <c r="V158" s="250">
        <v>6228919</v>
      </c>
      <c r="W158" s="250">
        <v>6197887</v>
      </c>
      <c r="X158" s="250">
        <v>6152377</v>
      </c>
      <c r="Y158" s="293">
        <v>4211900</v>
      </c>
      <c r="Z158" s="294">
        <v>-1</v>
      </c>
      <c r="AA158" s="251"/>
      <c r="AB158" s="251"/>
    </row>
    <row r="159" spans="1:28" s="295" customFormat="1" ht="31.5">
      <c r="A159" s="284">
        <v>132</v>
      </c>
      <c r="B159" s="284">
        <v>0</v>
      </c>
      <c r="C159" s="284" t="s">
        <v>1726</v>
      </c>
      <c r="D159" s="284" t="s">
        <v>1804</v>
      </c>
      <c r="E159" s="285" t="s">
        <v>2549</v>
      </c>
      <c r="F159" s="286" t="s">
        <v>1727</v>
      </c>
      <c r="G159" s="284">
        <v>300</v>
      </c>
      <c r="H159" s="284">
        <v>14</v>
      </c>
      <c r="I159" s="284">
        <v>0.95</v>
      </c>
      <c r="J159" s="287">
        <f t="shared" si="30"/>
        <v>2261266</v>
      </c>
      <c r="K159" s="288">
        <v>6.6</v>
      </c>
      <c r="L159" s="289">
        <f t="shared" si="31"/>
        <v>1122132</v>
      </c>
      <c r="M159" s="288">
        <v>6</v>
      </c>
      <c r="N159" s="289">
        <f t="shared" si="32"/>
        <v>1020120</v>
      </c>
      <c r="O159" s="290">
        <v>130.56</v>
      </c>
      <c r="P159" s="291" t="s">
        <v>1590</v>
      </c>
      <c r="Q159" s="288">
        <v>1.05</v>
      </c>
      <c r="R159" s="289">
        <f t="shared" si="33"/>
        <v>2629597.34016</v>
      </c>
      <c r="S159" s="292" t="s">
        <v>1728</v>
      </c>
      <c r="T159" s="296">
        <f>'Nhan cong'!M109</f>
        <v>231460.38461538462</v>
      </c>
      <c r="U159" s="250">
        <f>ROUND((J159+L159+N159+R159+T159),0)-2</f>
        <v>7264574</v>
      </c>
      <c r="V159" s="250">
        <v>7297641</v>
      </c>
      <c r="W159" s="250">
        <v>7264574</v>
      </c>
      <c r="X159" s="250">
        <v>7216079</v>
      </c>
      <c r="Y159" s="293">
        <v>5100600</v>
      </c>
      <c r="Z159" s="294">
        <v>-2</v>
      </c>
      <c r="AA159" s="251"/>
      <c r="AB159" s="251"/>
    </row>
    <row r="160" spans="1:28" s="295" customFormat="1" ht="31.5">
      <c r="A160" s="284">
        <v>133</v>
      </c>
      <c r="B160" s="284">
        <v>0</v>
      </c>
      <c r="C160" s="284" t="s">
        <v>1729</v>
      </c>
      <c r="D160" s="284" t="s">
        <v>1810</v>
      </c>
      <c r="E160" s="285" t="s">
        <v>2550</v>
      </c>
      <c r="F160" s="286" t="s">
        <v>1730</v>
      </c>
      <c r="G160" s="284">
        <v>300</v>
      </c>
      <c r="H160" s="284">
        <v>14</v>
      </c>
      <c r="I160" s="284">
        <v>0.95</v>
      </c>
      <c r="J160" s="287">
        <f t="shared" si="30"/>
        <v>2451766.3333333335</v>
      </c>
      <c r="K160" s="288">
        <v>6.5</v>
      </c>
      <c r="L160" s="289">
        <f t="shared" si="31"/>
        <v>1198231.6666666665</v>
      </c>
      <c r="M160" s="288">
        <v>6</v>
      </c>
      <c r="N160" s="289">
        <f t="shared" si="32"/>
        <v>1106060</v>
      </c>
      <c r="O160" s="290">
        <v>156</v>
      </c>
      <c r="P160" s="291" t="s">
        <v>1590</v>
      </c>
      <c r="Q160" s="288">
        <v>1.05</v>
      </c>
      <c r="R160" s="289">
        <f t="shared" si="33"/>
        <v>3141982.116</v>
      </c>
      <c r="S160" s="292" t="s">
        <v>1731</v>
      </c>
      <c r="T160" s="296">
        <f>'Nhan cong'!M110</f>
        <v>270132.6923076923</v>
      </c>
      <c r="U160" s="250">
        <f>ROUND((J160+L160+N160+R160+T160),0)-2</f>
        <v>8168171</v>
      </c>
      <c r="V160" s="250">
        <v>8206763</v>
      </c>
      <c r="W160" s="250">
        <v>8168171</v>
      </c>
      <c r="X160" s="250">
        <v>8111573</v>
      </c>
      <c r="Y160" s="293">
        <v>5530300</v>
      </c>
      <c r="Z160" s="294">
        <v>-2</v>
      </c>
      <c r="AA160" s="251"/>
      <c r="AB160" s="251"/>
    </row>
    <row r="161" spans="1:28" s="295" customFormat="1" ht="15.75">
      <c r="A161" s="297"/>
      <c r="B161" s="284"/>
      <c r="C161" s="298"/>
      <c r="D161" s="284"/>
      <c r="E161" s="272"/>
      <c r="F161" s="151" t="s">
        <v>1732</v>
      </c>
      <c r="G161" s="284"/>
      <c r="H161" s="284"/>
      <c r="I161" s="284"/>
      <c r="J161" s="299"/>
      <c r="K161" s="288"/>
      <c r="L161" s="289"/>
      <c r="M161" s="288"/>
      <c r="N161" s="300"/>
      <c r="O161" s="290"/>
      <c r="P161" s="291"/>
      <c r="Q161" s="288"/>
      <c r="R161" s="300"/>
      <c r="S161" s="292"/>
      <c r="T161" s="296"/>
      <c r="U161" s="250"/>
      <c r="V161" s="250"/>
      <c r="W161" s="250"/>
      <c r="X161" s="250"/>
      <c r="Y161" s="293"/>
      <c r="Z161" s="385"/>
      <c r="AA161" s="251"/>
      <c r="AB161" s="251"/>
    </row>
    <row r="162" spans="1:28" s="295" customFormat="1" ht="31.5">
      <c r="A162" s="284">
        <v>134</v>
      </c>
      <c r="B162" s="284">
        <v>0</v>
      </c>
      <c r="C162" s="284" t="s">
        <v>1733</v>
      </c>
      <c r="D162" s="284" t="s">
        <v>432</v>
      </c>
      <c r="E162" s="285" t="s">
        <v>2551</v>
      </c>
      <c r="F162" s="286" t="s">
        <v>1734</v>
      </c>
      <c r="G162" s="284">
        <v>200</v>
      </c>
      <c r="H162" s="284">
        <v>13</v>
      </c>
      <c r="I162" s="284">
        <v>0.95</v>
      </c>
      <c r="J162" s="287">
        <f aca="true" t="shared" si="34" ref="J162:J167">Y162*H162%*I162/G162*1000</f>
        <v>276670.87499999994</v>
      </c>
      <c r="K162" s="288">
        <v>4.85</v>
      </c>
      <c r="L162" s="289">
        <f aca="true" t="shared" si="35" ref="L162:L167">(Y162*K162%)/G162*1000</f>
        <v>108652.125</v>
      </c>
      <c r="M162" s="288">
        <v>6</v>
      </c>
      <c r="N162" s="289">
        <f aca="true" t="shared" si="36" ref="N162:N167">(Y162*M162%)/G162*1000</f>
        <v>134415</v>
      </c>
      <c r="O162" s="290">
        <v>30</v>
      </c>
      <c r="P162" s="291" t="s">
        <v>1590</v>
      </c>
      <c r="Q162" s="288">
        <v>1.05</v>
      </c>
      <c r="R162" s="289">
        <f aca="true" t="shared" si="37" ref="R162:R167">O162*diezel*Q162</f>
        <v>604227.33</v>
      </c>
      <c r="S162" s="292" t="s">
        <v>1735</v>
      </c>
      <c r="T162" s="296">
        <f>'Nhan cong'!M94</f>
        <v>183120</v>
      </c>
      <c r="U162" s="250">
        <f aca="true" t="shared" si="38" ref="U162:U167">ROUND((J162+L162+N162+R162+T162),0)</f>
        <v>1307085</v>
      </c>
      <c r="V162" s="250">
        <v>1333245</v>
      </c>
      <c r="W162" s="250">
        <v>1307085</v>
      </c>
      <c r="X162" s="250">
        <v>1268717</v>
      </c>
      <c r="Y162" s="293">
        <v>448050</v>
      </c>
      <c r="Z162" s="294"/>
      <c r="AA162" s="251"/>
      <c r="AB162" s="251"/>
    </row>
    <row r="163" spans="1:28" s="295" customFormat="1" ht="31.5">
      <c r="A163" s="284">
        <v>135</v>
      </c>
      <c r="B163" s="284">
        <v>0</v>
      </c>
      <c r="C163" s="284" t="s">
        <v>1736</v>
      </c>
      <c r="D163" s="284" t="s">
        <v>436</v>
      </c>
      <c r="E163" s="285" t="s">
        <v>2552</v>
      </c>
      <c r="F163" s="286" t="s">
        <v>253</v>
      </c>
      <c r="G163" s="284">
        <v>200</v>
      </c>
      <c r="H163" s="284">
        <v>13</v>
      </c>
      <c r="I163" s="284">
        <v>0.95</v>
      </c>
      <c r="J163" s="287">
        <f t="shared" si="34"/>
        <v>330671.25</v>
      </c>
      <c r="K163" s="288">
        <v>4.85</v>
      </c>
      <c r="L163" s="289">
        <f t="shared" si="35"/>
        <v>129858.74999999999</v>
      </c>
      <c r="M163" s="288">
        <v>6</v>
      </c>
      <c r="N163" s="289">
        <f t="shared" si="36"/>
        <v>160650</v>
      </c>
      <c r="O163" s="290">
        <v>36</v>
      </c>
      <c r="P163" s="291" t="s">
        <v>1590</v>
      </c>
      <c r="Q163" s="288">
        <v>1.05</v>
      </c>
      <c r="R163" s="289">
        <f t="shared" si="37"/>
        <v>725072.7960000001</v>
      </c>
      <c r="S163" s="292" t="s">
        <v>372</v>
      </c>
      <c r="T163" s="296">
        <f>'Nhan cong'!M94</f>
        <v>183120</v>
      </c>
      <c r="U163" s="250">
        <f>ROUND((J163+L163+N163+R163+T163),0)-1</f>
        <v>1529372</v>
      </c>
      <c r="V163" s="250">
        <v>1555533</v>
      </c>
      <c r="W163" s="250">
        <v>1529372</v>
      </c>
      <c r="X163" s="250">
        <v>1491005</v>
      </c>
      <c r="Y163" s="293">
        <v>535500</v>
      </c>
      <c r="Z163" s="294">
        <v>-1</v>
      </c>
      <c r="AA163" s="251"/>
      <c r="AB163" s="251"/>
    </row>
    <row r="164" spans="1:28" s="295" customFormat="1" ht="31.5">
      <c r="A164" s="284">
        <v>136</v>
      </c>
      <c r="B164" s="284">
        <v>0</v>
      </c>
      <c r="C164" s="284" t="s">
        <v>1737</v>
      </c>
      <c r="D164" s="284" t="s">
        <v>440</v>
      </c>
      <c r="E164" s="285" t="s">
        <v>2553</v>
      </c>
      <c r="F164" s="286" t="s">
        <v>1738</v>
      </c>
      <c r="G164" s="284">
        <v>200</v>
      </c>
      <c r="H164" s="284">
        <v>13</v>
      </c>
      <c r="I164" s="284">
        <v>0.95</v>
      </c>
      <c r="J164" s="287">
        <f t="shared" si="34"/>
        <v>382078.125</v>
      </c>
      <c r="K164" s="288">
        <v>4.85</v>
      </c>
      <c r="L164" s="289">
        <f t="shared" si="35"/>
        <v>150046.87499999997</v>
      </c>
      <c r="M164" s="288">
        <v>6</v>
      </c>
      <c r="N164" s="289">
        <f t="shared" si="36"/>
        <v>185625</v>
      </c>
      <c r="O164" s="290">
        <v>40</v>
      </c>
      <c r="P164" s="291" t="s">
        <v>1590</v>
      </c>
      <c r="Q164" s="288">
        <v>1.05</v>
      </c>
      <c r="R164" s="289">
        <f t="shared" si="37"/>
        <v>805636.4400000001</v>
      </c>
      <c r="S164" s="292" t="s">
        <v>1739</v>
      </c>
      <c r="T164" s="296">
        <f>'Nhan cong'!M99</f>
        <v>193296.92307692306</v>
      </c>
      <c r="U164" s="250">
        <f t="shared" si="38"/>
        <v>1716683</v>
      </c>
      <c r="V164" s="250">
        <v>1744297</v>
      </c>
      <c r="W164" s="250">
        <v>1716683</v>
      </c>
      <c r="X164" s="250">
        <v>1676183</v>
      </c>
      <c r="Y164" s="293">
        <v>618750</v>
      </c>
      <c r="Z164" s="294"/>
      <c r="AA164" s="251"/>
      <c r="AB164" s="251"/>
    </row>
    <row r="165" spans="1:28" s="295" customFormat="1" ht="31.5">
      <c r="A165" s="284">
        <v>137</v>
      </c>
      <c r="B165" s="284">
        <v>0</v>
      </c>
      <c r="C165" s="284" t="s">
        <v>1740</v>
      </c>
      <c r="D165" s="284" t="s">
        <v>445</v>
      </c>
      <c r="E165" s="285" t="s">
        <v>2554</v>
      </c>
      <c r="F165" s="286" t="s">
        <v>1741</v>
      </c>
      <c r="G165" s="284">
        <v>200</v>
      </c>
      <c r="H165" s="284">
        <v>12</v>
      </c>
      <c r="I165" s="284">
        <v>0.95</v>
      </c>
      <c r="J165" s="287">
        <f t="shared" si="34"/>
        <v>435793.5</v>
      </c>
      <c r="K165" s="288">
        <v>4.35</v>
      </c>
      <c r="L165" s="289">
        <f t="shared" si="35"/>
        <v>166289.62499999997</v>
      </c>
      <c r="M165" s="288">
        <v>6</v>
      </c>
      <c r="N165" s="289">
        <f t="shared" si="36"/>
        <v>229365</v>
      </c>
      <c r="O165" s="290">
        <v>48</v>
      </c>
      <c r="P165" s="291" t="s">
        <v>1590</v>
      </c>
      <c r="Q165" s="288">
        <v>1.05</v>
      </c>
      <c r="R165" s="289">
        <f t="shared" si="37"/>
        <v>966763.728</v>
      </c>
      <c r="S165" s="292" t="s">
        <v>1739</v>
      </c>
      <c r="T165" s="296">
        <f>'Nhan cong'!M99</f>
        <v>193296.92307692306</v>
      </c>
      <c r="U165" s="250">
        <f>ROUND((J165+L165+N165+R165+T165),0)-1</f>
        <v>1991508</v>
      </c>
      <c r="V165" s="250">
        <v>2019123</v>
      </c>
      <c r="W165" s="250">
        <v>1991508</v>
      </c>
      <c r="X165" s="250">
        <v>1951009</v>
      </c>
      <c r="Y165" s="293">
        <v>764550</v>
      </c>
      <c r="Z165" s="294">
        <v>-1</v>
      </c>
      <c r="AA165" s="251"/>
      <c r="AB165" s="251"/>
    </row>
    <row r="166" spans="1:28" s="295" customFormat="1" ht="31.5">
      <c r="A166" s="284">
        <v>138</v>
      </c>
      <c r="B166" s="284">
        <v>0</v>
      </c>
      <c r="C166" s="284" t="s">
        <v>1742</v>
      </c>
      <c r="D166" s="284" t="s">
        <v>448</v>
      </c>
      <c r="E166" s="285" t="s">
        <v>2555</v>
      </c>
      <c r="F166" s="286" t="s">
        <v>1743</v>
      </c>
      <c r="G166" s="284">
        <v>200</v>
      </c>
      <c r="H166" s="284">
        <v>12</v>
      </c>
      <c r="I166" s="284">
        <v>0.95</v>
      </c>
      <c r="J166" s="287">
        <f t="shared" si="34"/>
        <v>500631</v>
      </c>
      <c r="K166" s="288">
        <v>4.35</v>
      </c>
      <c r="L166" s="289">
        <f t="shared" si="35"/>
        <v>191030.24999999997</v>
      </c>
      <c r="M166" s="288">
        <v>6</v>
      </c>
      <c r="N166" s="289">
        <f t="shared" si="36"/>
        <v>263490</v>
      </c>
      <c r="O166" s="290">
        <v>51</v>
      </c>
      <c r="P166" s="291" t="s">
        <v>1590</v>
      </c>
      <c r="Q166" s="288">
        <v>1.05</v>
      </c>
      <c r="R166" s="289">
        <f t="shared" si="37"/>
        <v>1027186.461</v>
      </c>
      <c r="S166" s="292" t="s">
        <v>1719</v>
      </c>
      <c r="T166" s="296">
        <f>'Nhan cong'!M104</f>
        <v>217212.6923076923</v>
      </c>
      <c r="U166" s="250">
        <f t="shared" si="38"/>
        <v>2199550</v>
      </c>
      <c r="V166" s="250">
        <v>2230581</v>
      </c>
      <c r="W166" s="250">
        <v>2199550</v>
      </c>
      <c r="X166" s="250">
        <v>2154039</v>
      </c>
      <c r="Y166" s="293">
        <v>878300</v>
      </c>
      <c r="Z166" s="294"/>
      <c r="AA166" s="251"/>
      <c r="AB166" s="251"/>
    </row>
    <row r="167" spans="1:28" s="295" customFormat="1" ht="31.5">
      <c r="A167" s="284">
        <v>139</v>
      </c>
      <c r="B167" s="284">
        <v>0</v>
      </c>
      <c r="C167" s="284" t="s">
        <v>1744</v>
      </c>
      <c r="D167" s="284" t="s">
        <v>451</v>
      </c>
      <c r="E167" s="285" t="s">
        <v>2556</v>
      </c>
      <c r="F167" s="286" t="s">
        <v>1745</v>
      </c>
      <c r="G167" s="284">
        <v>200</v>
      </c>
      <c r="H167" s="284">
        <v>11</v>
      </c>
      <c r="I167" s="284">
        <v>0.95</v>
      </c>
      <c r="J167" s="287">
        <f t="shared" si="34"/>
        <v>564273.875</v>
      </c>
      <c r="K167" s="288">
        <v>4.04</v>
      </c>
      <c r="L167" s="289">
        <f t="shared" si="35"/>
        <v>218149.89999999997</v>
      </c>
      <c r="M167" s="288">
        <v>6</v>
      </c>
      <c r="N167" s="289">
        <f t="shared" si="36"/>
        <v>323985</v>
      </c>
      <c r="O167" s="290">
        <v>56</v>
      </c>
      <c r="P167" s="291" t="s">
        <v>1590</v>
      </c>
      <c r="Q167" s="288">
        <v>1.05</v>
      </c>
      <c r="R167" s="289">
        <f t="shared" si="37"/>
        <v>1127891.016</v>
      </c>
      <c r="S167" s="292" t="s">
        <v>1719</v>
      </c>
      <c r="T167" s="296">
        <f>'Nhan cong'!M104</f>
        <v>217212.6923076923</v>
      </c>
      <c r="U167" s="250">
        <f t="shared" si="38"/>
        <v>2451512</v>
      </c>
      <c r="V167" s="250">
        <v>2482543</v>
      </c>
      <c r="W167" s="250">
        <v>2451512</v>
      </c>
      <c r="X167" s="250">
        <v>2406001</v>
      </c>
      <c r="Y167" s="293">
        <v>1079950</v>
      </c>
      <c r="Z167" s="294"/>
      <c r="AA167" s="251"/>
      <c r="AB167" s="251"/>
    </row>
    <row r="168" spans="1:28" s="295" customFormat="1" ht="15.75">
      <c r="A168" s="297"/>
      <c r="B168" s="284"/>
      <c r="C168" s="298"/>
      <c r="D168" s="284"/>
      <c r="E168" s="272"/>
      <c r="F168" s="151" t="s">
        <v>1746</v>
      </c>
      <c r="G168" s="284"/>
      <c r="H168" s="284"/>
      <c r="I168" s="284"/>
      <c r="J168" s="299"/>
      <c r="K168" s="288"/>
      <c r="L168" s="289"/>
      <c r="M168" s="288"/>
      <c r="N168" s="300"/>
      <c r="O168" s="290"/>
      <c r="P168" s="291"/>
      <c r="Q168" s="288"/>
      <c r="R168" s="300"/>
      <c r="S168" s="292"/>
      <c r="T168" s="296"/>
      <c r="U168" s="250"/>
      <c r="V168" s="250"/>
      <c r="W168" s="250"/>
      <c r="X168" s="250"/>
      <c r="Y168" s="293"/>
      <c r="Z168" s="385"/>
      <c r="AA168" s="251"/>
      <c r="AB168" s="251"/>
    </row>
    <row r="169" spans="1:28" s="295" customFormat="1" ht="31.5">
      <c r="A169" s="284">
        <v>140</v>
      </c>
      <c r="B169" s="284">
        <v>0</v>
      </c>
      <c r="C169" s="284" t="s">
        <v>1747</v>
      </c>
      <c r="D169" s="284" t="s">
        <v>271</v>
      </c>
      <c r="E169" s="285" t="s">
        <v>2557</v>
      </c>
      <c r="F169" s="286" t="s">
        <v>1748</v>
      </c>
      <c r="G169" s="284">
        <v>220</v>
      </c>
      <c r="H169" s="284">
        <v>17</v>
      </c>
      <c r="I169" s="284">
        <v>0.95</v>
      </c>
      <c r="J169" s="287">
        <f aca="true" t="shared" si="39" ref="J169:J174">Y169*H169%*I169/G169*1000</f>
        <v>492464.8863636364</v>
      </c>
      <c r="K169" s="288">
        <v>5.7</v>
      </c>
      <c r="L169" s="289">
        <f aca="true" t="shared" si="40" ref="L169:L174">(Y169*K169%)/G169*1000</f>
        <v>173811.13636363638</v>
      </c>
      <c r="M169" s="288">
        <v>6</v>
      </c>
      <c r="N169" s="289">
        <f aca="true" t="shared" si="41" ref="N169:N174">(Y169*M169%)/G169*1000</f>
        <v>182959.0909090909</v>
      </c>
      <c r="O169" s="290">
        <v>36</v>
      </c>
      <c r="P169" s="291" t="s">
        <v>1590</v>
      </c>
      <c r="Q169" s="288">
        <v>1.05</v>
      </c>
      <c r="R169" s="289">
        <f aca="true" t="shared" si="42" ref="R169:R174">O169*diezel*Q169</f>
        <v>725072.7960000001</v>
      </c>
      <c r="S169" s="292" t="s">
        <v>1749</v>
      </c>
      <c r="T169" s="296">
        <f>'Nhan cong'!M92+'Nhan cong'!M94</f>
        <v>318917.3076923077</v>
      </c>
      <c r="U169" s="250">
        <f>ROUND((J169+L169+N169+R169+T169),0)</f>
        <v>1893225</v>
      </c>
      <c r="V169" s="250">
        <v>1938785</v>
      </c>
      <c r="W169" s="250">
        <v>1893225</v>
      </c>
      <c r="X169" s="250">
        <v>1826405</v>
      </c>
      <c r="Y169" s="293">
        <v>670850</v>
      </c>
      <c r="Z169" s="294"/>
      <c r="AA169" s="251"/>
      <c r="AB169" s="251"/>
    </row>
    <row r="170" spans="1:28" s="295" customFormat="1" ht="31.5">
      <c r="A170" s="284">
        <v>141</v>
      </c>
      <c r="B170" s="284" t="s">
        <v>662</v>
      </c>
      <c r="C170" s="284" t="s">
        <v>1750</v>
      </c>
      <c r="D170" s="284" t="s">
        <v>300</v>
      </c>
      <c r="E170" s="285" t="s">
        <v>2558</v>
      </c>
      <c r="F170" s="286" t="s">
        <v>1751</v>
      </c>
      <c r="G170" s="284">
        <v>220</v>
      </c>
      <c r="H170" s="284">
        <v>17</v>
      </c>
      <c r="I170" s="284">
        <v>0.95</v>
      </c>
      <c r="J170" s="287">
        <f t="shared" si="39"/>
        <v>566424.5454545454</v>
      </c>
      <c r="K170" s="288">
        <v>5.7</v>
      </c>
      <c r="L170" s="289">
        <f t="shared" si="40"/>
        <v>199914.54545454547</v>
      </c>
      <c r="M170" s="288">
        <v>6</v>
      </c>
      <c r="N170" s="289">
        <f t="shared" si="41"/>
        <v>210436.36363636365</v>
      </c>
      <c r="O170" s="290">
        <v>43</v>
      </c>
      <c r="P170" s="291" t="s">
        <v>1590</v>
      </c>
      <c r="Q170" s="288">
        <v>1.05</v>
      </c>
      <c r="R170" s="289">
        <f t="shared" si="42"/>
        <v>866059.1730000001</v>
      </c>
      <c r="S170" s="292" t="s">
        <v>1749</v>
      </c>
      <c r="T170" s="296">
        <f>'Nhan cong'!M92+'Nhan cong'!M94</f>
        <v>318917.3076923077</v>
      </c>
      <c r="U170" s="250">
        <f>ROUND((J170+L170+N170+R170+T170),0)-1</f>
        <v>2161751</v>
      </c>
      <c r="V170" s="250">
        <v>2207312</v>
      </c>
      <c r="W170" s="250">
        <v>2161751</v>
      </c>
      <c r="X170" s="250">
        <v>2094932</v>
      </c>
      <c r="Y170" s="293">
        <v>771600</v>
      </c>
      <c r="Z170" s="294">
        <v>-1</v>
      </c>
      <c r="AA170" s="251"/>
      <c r="AB170" s="251"/>
    </row>
    <row r="171" spans="1:28" s="295" customFormat="1" ht="31.5">
      <c r="A171" s="284">
        <v>142</v>
      </c>
      <c r="B171" s="284">
        <v>0</v>
      </c>
      <c r="C171" s="284" t="s">
        <v>1752</v>
      </c>
      <c r="D171" s="284" t="s">
        <v>279</v>
      </c>
      <c r="E171" s="285" t="s">
        <v>2559</v>
      </c>
      <c r="F171" s="286" t="s">
        <v>1753</v>
      </c>
      <c r="G171" s="284">
        <v>220</v>
      </c>
      <c r="H171" s="284">
        <v>17</v>
      </c>
      <c r="I171" s="284">
        <v>0.95</v>
      </c>
      <c r="J171" s="287">
        <f t="shared" si="39"/>
        <v>881496.3636363636</v>
      </c>
      <c r="K171" s="288">
        <v>5.7</v>
      </c>
      <c r="L171" s="289">
        <f t="shared" si="40"/>
        <v>311116.36363636365</v>
      </c>
      <c r="M171" s="288">
        <v>6</v>
      </c>
      <c r="N171" s="289">
        <f t="shared" si="41"/>
        <v>327490.9090909091</v>
      </c>
      <c r="O171" s="290">
        <v>50</v>
      </c>
      <c r="P171" s="291" t="s">
        <v>1590</v>
      </c>
      <c r="Q171" s="288">
        <v>1.05</v>
      </c>
      <c r="R171" s="289">
        <f t="shared" si="42"/>
        <v>1007045.55</v>
      </c>
      <c r="S171" s="292" t="s">
        <v>1754</v>
      </c>
      <c r="T171" s="296">
        <f>'Nhan cong'!M97+'Nhan cong'!M99</f>
        <v>336726.92307692306</v>
      </c>
      <c r="U171" s="250">
        <f>ROUND((J171+L171+N171+R171+T171),0)</f>
        <v>2863876</v>
      </c>
      <c r="V171" s="250">
        <v>2911980</v>
      </c>
      <c r="W171" s="250">
        <v>2863876</v>
      </c>
      <c r="X171" s="250">
        <v>2793324</v>
      </c>
      <c r="Y171" s="293">
        <v>1200800</v>
      </c>
      <c r="Z171" s="294"/>
      <c r="AA171" s="251"/>
      <c r="AB171" s="251"/>
    </row>
    <row r="172" spans="1:28" s="295" customFormat="1" ht="31.5">
      <c r="A172" s="284">
        <v>143</v>
      </c>
      <c r="B172" s="284">
        <v>0</v>
      </c>
      <c r="C172" s="284" t="s">
        <v>1755</v>
      </c>
      <c r="D172" s="284" t="s">
        <v>275</v>
      </c>
      <c r="E172" s="285" t="s">
        <v>2560</v>
      </c>
      <c r="F172" s="286" t="s">
        <v>1756</v>
      </c>
      <c r="G172" s="284">
        <v>220</v>
      </c>
      <c r="H172" s="284">
        <v>17</v>
      </c>
      <c r="I172" s="284">
        <v>0.95</v>
      </c>
      <c r="J172" s="287">
        <f t="shared" si="39"/>
        <v>1034444.2045454546</v>
      </c>
      <c r="K172" s="288">
        <v>5.5</v>
      </c>
      <c r="L172" s="289">
        <f t="shared" si="40"/>
        <v>352287.5</v>
      </c>
      <c r="M172" s="288">
        <v>6</v>
      </c>
      <c r="N172" s="289">
        <f t="shared" si="41"/>
        <v>384313.63636363635</v>
      </c>
      <c r="O172" s="290">
        <v>52</v>
      </c>
      <c r="P172" s="291" t="s">
        <v>1590</v>
      </c>
      <c r="Q172" s="288">
        <v>1.05</v>
      </c>
      <c r="R172" s="289">
        <f t="shared" si="42"/>
        <v>1047327.3720000001</v>
      </c>
      <c r="S172" s="292" t="s">
        <v>1757</v>
      </c>
      <c r="T172" s="296">
        <f>'Nhan cong'!M97+'Nhan cong'!M99</f>
        <v>336726.92307692306</v>
      </c>
      <c r="U172" s="250">
        <f>ROUND((J172+L172+N172+R172+T172),0)-1</f>
        <v>3155099</v>
      </c>
      <c r="V172" s="250">
        <v>3203204</v>
      </c>
      <c r="W172" s="250">
        <v>3155101</v>
      </c>
      <c r="X172" s="250">
        <v>3084548</v>
      </c>
      <c r="Y172" s="293">
        <v>1409150</v>
      </c>
      <c r="Z172" s="294">
        <v>-1</v>
      </c>
      <c r="AA172" s="251"/>
      <c r="AB172" s="251"/>
    </row>
    <row r="173" spans="1:28" s="295" customFormat="1" ht="31.5">
      <c r="A173" s="284">
        <v>144</v>
      </c>
      <c r="B173" s="284" t="s">
        <v>660</v>
      </c>
      <c r="C173" s="284" t="s">
        <v>1758</v>
      </c>
      <c r="D173" s="284" t="s">
        <v>284</v>
      </c>
      <c r="E173" s="285" t="s">
        <v>2561</v>
      </c>
      <c r="F173" s="286" t="s">
        <v>1759</v>
      </c>
      <c r="G173" s="284">
        <v>220</v>
      </c>
      <c r="H173" s="284">
        <v>17</v>
      </c>
      <c r="I173" s="284">
        <v>0.95</v>
      </c>
      <c r="J173" s="287">
        <f t="shared" si="39"/>
        <v>1393745</v>
      </c>
      <c r="K173" s="288">
        <v>5.5</v>
      </c>
      <c r="L173" s="289">
        <f t="shared" si="40"/>
        <v>474650</v>
      </c>
      <c r="M173" s="288">
        <v>6</v>
      </c>
      <c r="N173" s="289">
        <f t="shared" si="41"/>
        <v>517799.99999999994</v>
      </c>
      <c r="O173" s="290">
        <v>64</v>
      </c>
      <c r="P173" s="291" t="s">
        <v>1590</v>
      </c>
      <c r="Q173" s="288">
        <v>1.05</v>
      </c>
      <c r="R173" s="289">
        <f t="shared" si="42"/>
        <v>1289018.304</v>
      </c>
      <c r="S173" s="292" t="s">
        <v>1757</v>
      </c>
      <c r="T173" s="296">
        <f>'Nhan cong'!M97+'Nhan cong'!M99</f>
        <v>336726.92307692306</v>
      </c>
      <c r="U173" s="250">
        <f>ROUND((J173+L173+N173+R173+T173),0)</f>
        <v>4011940</v>
      </c>
      <c r="V173" s="250">
        <v>4060044</v>
      </c>
      <c r="W173" s="250">
        <v>4011940</v>
      </c>
      <c r="X173" s="250">
        <v>3941388</v>
      </c>
      <c r="Y173" s="293">
        <v>1898600</v>
      </c>
      <c r="Z173" s="294"/>
      <c r="AA173" s="251"/>
      <c r="AB173" s="251"/>
    </row>
    <row r="174" spans="1:28" s="295" customFormat="1" ht="31.5">
      <c r="A174" s="284">
        <v>145</v>
      </c>
      <c r="B174" s="284" t="s">
        <v>661</v>
      </c>
      <c r="C174" s="284" t="s">
        <v>1760</v>
      </c>
      <c r="D174" s="284" t="s">
        <v>290</v>
      </c>
      <c r="E174" s="285" t="s">
        <v>2562</v>
      </c>
      <c r="F174" s="286" t="s">
        <v>1761</v>
      </c>
      <c r="G174" s="284">
        <v>220</v>
      </c>
      <c r="H174" s="284">
        <v>17</v>
      </c>
      <c r="I174" s="284">
        <v>0.95</v>
      </c>
      <c r="J174" s="287">
        <f t="shared" si="39"/>
        <v>1899680.4545454546</v>
      </c>
      <c r="K174" s="288">
        <v>5.5</v>
      </c>
      <c r="L174" s="289">
        <f t="shared" si="40"/>
        <v>646950</v>
      </c>
      <c r="M174" s="288">
        <v>6</v>
      </c>
      <c r="N174" s="289">
        <f t="shared" si="41"/>
        <v>705763.6363636364</v>
      </c>
      <c r="O174" s="290">
        <v>70</v>
      </c>
      <c r="P174" s="291" t="s">
        <v>1590</v>
      </c>
      <c r="Q174" s="288">
        <v>1.05</v>
      </c>
      <c r="R174" s="289">
        <f t="shared" si="42"/>
        <v>1409863.77</v>
      </c>
      <c r="S174" s="292" t="s">
        <v>1762</v>
      </c>
      <c r="T174" s="296">
        <f>'Nhan cong'!M102+'Nhan cong'!M104</f>
        <v>377434.6153846154</v>
      </c>
      <c r="U174" s="250">
        <f>ROUND((J174+L174+N174+R174+T174),0)</f>
        <v>5039692</v>
      </c>
      <c r="V174" s="250">
        <v>5093612</v>
      </c>
      <c r="W174" s="250">
        <v>5039692</v>
      </c>
      <c r="X174" s="250">
        <v>4960611</v>
      </c>
      <c r="Y174" s="293">
        <v>2587800</v>
      </c>
      <c r="Z174" s="294"/>
      <c r="AA174" s="251"/>
      <c r="AB174" s="251"/>
    </row>
    <row r="175" spans="1:28" s="295" customFormat="1" ht="15.75">
      <c r="A175" s="297"/>
      <c r="B175" s="284"/>
      <c r="C175" s="298"/>
      <c r="D175" s="284"/>
      <c r="E175" s="272"/>
      <c r="F175" s="151" t="s">
        <v>1763</v>
      </c>
      <c r="G175" s="284"/>
      <c r="H175" s="284"/>
      <c r="I175" s="284"/>
      <c r="J175" s="299"/>
      <c r="K175" s="288"/>
      <c r="L175" s="289"/>
      <c r="M175" s="288"/>
      <c r="N175" s="300"/>
      <c r="O175" s="290"/>
      <c r="P175" s="291"/>
      <c r="Q175" s="288"/>
      <c r="R175" s="300"/>
      <c r="S175" s="292"/>
      <c r="T175" s="296"/>
      <c r="U175" s="250"/>
      <c r="V175" s="250"/>
      <c r="W175" s="250"/>
      <c r="X175" s="250"/>
      <c r="Y175" s="293"/>
      <c r="Z175" s="385"/>
      <c r="AA175" s="251"/>
      <c r="AB175" s="251"/>
    </row>
    <row r="176" spans="1:28" s="295" customFormat="1" ht="31.5">
      <c r="A176" s="284">
        <v>146</v>
      </c>
      <c r="B176" s="284">
        <v>0</v>
      </c>
      <c r="C176" s="284" t="s">
        <v>1764</v>
      </c>
      <c r="D176" s="284" t="s">
        <v>1715</v>
      </c>
      <c r="E176" s="285" t="s">
        <v>2563</v>
      </c>
      <c r="F176" s="286" t="s">
        <v>1765</v>
      </c>
      <c r="G176" s="284">
        <v>220</v>
      </c>
      <c r="H176" s="284">
        <v>15</v>
      </c>
      <c r="I176" s="284">
        <v>0.95</v>
      </c>
      <c r="J176" s="287">
        <f aca="true" t="shared" si="43" ref="J176:J181">Y176*H176%*I176/G176*1000</f>
        <v>247755.68181818182</v>
      </c>
      <c r="K176" s="288">
        <v>4.78</v>
      </c>
      <c r="L176" s="289">
        <f aca="true" t="shared" si="44" ref="L176:L181">(Y176*K176%)/G176*1000</f>
        <v>83106.81818181819</v>
      </c>
      <c r="M176" s="288">
        <v>6</v>
      </c>
      <c r="N176" s="289">
        <f aca="true" t="shared" si="45" ref="N176:N181">(Y176*M176%)/G176*1000</f>
        <v>104318.18181818181</v>
      </c>
      <c r="O176" s="290">
        <v>20.25</v>
      </c>
      <c r="P176" s="291" t="s">
        <v>1590</v>
      </c>
      <c r="Q176" s="288">
        <v>1.05</v>
      </c>
      <c r="R176" s="289">
        <f aca="true" t="shared" si="46" ref="R176:R181">O176*diezel*Q176</f>
        <v>407853.44775</v>
      </c>
      <c r="S176" s="292" t="s">
        <v>360</v>
      </c>
      <c r="T176" s="296">
        <f>'Nhan cong'!M88</f>
        <v>148518.46153846153</v>
      </c>
      <c r="U176" s="250">
        <f>ROUND((J176+L176+N176+R176+T176),0)-1</f>
        <v>991552</v>
      </c>
      <c r="V176" s="250">
        <v>1012769</v>
      </c>
      <c r="W176" s="250">
        <v>991552</v>
      </c>
      <c r="X176" s="250">
        <v>960434</v>
      </c>
      <c r="Y176" s="293">
        <v>382500</v>
      </c>
      <c r="Z176" s="294">
        <v>-1</v>
      </c>
      <c r="AA176" s="251"/>
      <c r="AB176" s="251"/>
    </row>
    <row r="177" spans="1:28" s="295" customFormat="1" ht="31.5">
      <c r="A177" s="284">
        <v>147</v>
      </c>
      <c r="B177" s="284" t="s">
        <v>670</v>
      </c>
      <c r="C177" s="284" t="s">
        <v>1766</v>
      </c>
      <c r="D177" s="284" t="s">
        <v>1718</v>
      </c>
      <c r="E177" s="285" t="s">
        <v>2564</v>
      </c>
      <c r="F177" s="286" t="s">
        <v>1767</v>
      </c>
      <c r="G177" s="284">
        <v>220</v>
      </c>
      <c r="H177" s="284">
        <v>14</v>
      </c>
      <c r="I177" s="284">
        <v>0.95</v>
      </c>
      <c r="J177" s="287">
        <f t="shared" si="43"/>
        <v>262312.2727272727</v>
      </c>
      <c r="K177" s="288">
        <v>4.35</v>
      </c>
      <c r="L177" s="289">
        <f t="shared" si="44"/>
        <v>85793.86363636362</v>
      </c>
      <c r="M177" s="288">
        <v>6</v>
      </c>
      <c r="N177" s="289">
        <f t="shared" si="45"/>
        <v>118336.36363636365</v>
      </c>
      <c r="O177" s="290">
        <v>22.5</v>
      </c>
      <c r="P177" s="291" t="s">
        <v>1590</v>
      </c>
      <c r="Q177" s="288">
        <v>1.05</v>
      </c>
      <c r="R177" s="289">
        <f t="shared" si="46"/>
        <v>453170.49750000006</v>
      </c>
      <c r="S177" s="292" t="s">
        <v>365</v>
      </c>
      <c r="T177" s="296">
        <f>'Nhan cong'!M89</f>
        <v>173451.92307692306</v>
      </c>
      <c r="U177" s="250">
        <f>ROUND((J177+L177+N177+R177+T177),0)</f>
        <v>1093065</v>
      </c>
      <c r="V177" s="250">
        <v>1117844</v>
      </c>
      <c r="W177" s="250">
        <v>1093065</v>
      </c>
      <c r="X177" s="250">
        <v>1056723</v>
      </c>
      <c r="Y177" s="293">
        <v>433900</v>
      </c>
      <c r="Z177" s="294"/>
      <c r="AA177" s="251"/>
      <c r="AB177" s="251"/>
    </row>
    <row r="178" spans="1:28" s="295" customFormat="1" ht="31.5">
      <c r="A178" s="284">
        <v>148</v>
      </c>
      <c r="B178" s="284">
        <v>0</v>
      </c>
      <c r="C178" s="284" t="s">
        <v>1768</v>
      </c>
      <c r="D178" s="284" t="s">
        <v>1722</v>
      </c>
      <c r="E178" s="285" t="s">
        <v>2565</v>
      </c>
      <c r="F178" s="286" t="s">
        <v>1769</v>
      </c>
      <c r="G178" s="284">
        <v>220</v>
      </c>
      <c r="H178" s="284">
        <v>14</v>
      </c>
      <c r="I178" s="284">
        <v>0.95</v>
      </c>
      <c r="J178" s="287">
        <f t="shared" si="43"/>
        <v>301244.99999999994</v>
      </c>
      <c r="K178" s="288">
        <v>4.35</v>
      </c>
      <c r="L178" s="289">
        <f t="shared" si="44"/>
        <v>98527.5</v>
      </c>
      <c r="M178" s="288">
        <v>6</v>
      </c>
      <c r="N178" s="289">
        <f t="shared" si="45"/>
        <v>135900</v>
      </c>
      <c r="O178" s="290">
        <v>24</v>
      </c>
      <c r="P178" s="291" t="s">
        <v>1590</v>
      </c>
      <c r="Q178" s="288">
        <v>1.05</v>
      </c>
      <c r="R178" s="289">
        <f t="shared" si="46"/>
        <v>483381.864</v>
      </c>
      <c r="S178" s="292" t="s">
        <v>365</v>
      </c>
      <c r="T178" s="296">
        <f>'Nhan cong'!M89</f>
        <v>173451.92307692306</v>
      </c>
      <c r="U178" s="250">
        <f>ROUND((J178+L178+N178+R178+T178),0)</f>
        <v>1192506</v>
      </c>
      <c r="V178" s="250">
        <v>1217285</v>
      </c>
      <c r="W178" s="250">
        <v>1192506</v>
      </c>
      <c r="X178" s="250">
        <v>1156164</v>
      </c>
      <c r="Y178" s="293">
        <v>498300</v>
      </c>
      <c r="Z178" s="294"/>
      <c r="AA178" s="251"/>
      <c r="AB178" s="251"/>
    </row>
    <row r="179" spans="1:28" s="295" customFormat="1" ht="31.5">
      <c r="A179" s="284">
        <v>149</v>
      </c>
      <c r="B179" s="284">
        <v>0</v>
      </c>
      <c r="C179" s="284" t="s">
        <v>1770</v>
      </c>
      <c r="D179" s="284" t="s">
        <v>1726</v>
      </c>
      <c r="E179" s="285" t="s">
        <v>2566</v>
      </c>
      <c r="F179" s="286" t="s">
        <v>1771</v>
      </c>
      <c r="G179" s="284">
        <v>220</v>
      </c>
      <c r="H179" s="284">
        <v>13</v>
      </c>
      <c r="I179" s="284">
        <v>0.95</v>
      </c>
      <c r="J179" s="287">
        <f t="shared" si="43"/>
        <v>336986.59090909094</v>
      </c>
      <c r="K179" s="288">
        <v>4.12</v>
      </c>
      <c r="L179" s="289">
        <f t="shared" si="44"/>
        <v>112419.81818181819</v>
      </c>
      <c r="M179" s="288">
        <v>6</v>
      </c>
      <c r="N179" s="289">
        <f t="shared" si="45"/>
        <v>163718.18181818182</v>
      </c>
      <c r="O179" s="290">
        <v>25.5</v>
      </c>
      <c r="P179" s="291" t="s">
        <v>1590</v>
      </c>
      <c r="Q179" s="288">
        <v>1.05</v>
      </c>
      <c r="R179" s="289">
        <f t="shared" si="46"/>
        <v>513593.2305</v>
      </c>
      <c r="S179" s="292" t="s">
        <v>372</v>
      </c>
      <c r="T179" s="296">
        <f>'Nhan cong'!M94</f>
        <v>183120</v>
      </c>
      <c r="U179" s="250">
        <f>ROUND((J179+L179+N179+R179+T179),0)</f>
        <v>1309838</v>
      </c>
      <c r="V179" s="250">
        <v>1335998</v>
      </c>
      <c r="W179" s="250">
        <v>1309838</v>
      </c>
      <c r="X179" s="250">
        <v>1271470</v>
      </c>
      <c r="Y179" s="293">
        <v>600300</v>
      </c>
      <c r="Z179" s="294"/>
      <c r="AA179" s="251"/>
      <c r="AB179" s="251"/>
    </row>
    <row r="180" spans="1:28" s="295" customFormat="1" ht="31.5">
      <c r="A180" s="284">
        <v>150</v>
      </c>
      <c r="B180" s="284" t="s">
        <v>671</v>
      </c>
      <c r="C180" s="284" t="s">
        <v>1772</v>
      </c>
      <c r="D180" s="284" t="s">
        <v>1733</v>
      </c>
      <c r="E180" s="285" t="s">
        <v>2567</v>
      </c>
      <c r="F180" s="286" t="s">
        <v>276</v>
      </c>
      <c r="G180" s="284">
        <v>220</v>
      </c>
      <c r="H180" s="284">
        <v>13</v>
      </c>
      <c r="I180" s="284">
        <v>0.95</v>
      </c>
      <c r="J180" s="287">
        <f t="shared" si="43"/>
        <v>389867.04545454547</v>
      </c>
      <c r="K180" s="288">
        <v>4.12</v>
      </c>
      <c r="L180" s="289">
        <f t="shared" si="44"/>
        <v>130060.90909090909</v>
      </c>
      <c r="M180" s="288">
        <v>6</v>
      </c>
      <c r="N180" s="289">
        <f t="shared" si="45"/>
        <v>189409.0909090909</v>
      </c>
      <c r="O180" s="290">
        <v>27</v>
      </c>
      <c r="P180" s="291" t="s">
        <v>1590</v>
      </c>
      <c r="Q180" s="288">
        <v>1.05</v>
      </c>
      <c r="R180" s="289">
        <f t="shared" si="46"/>
        <v>543804.5970000001</v>
      </c>
      <c r="S180" s="292" t="s">
        <v>372</v>
      </c>
      <c r="T180" s="296">
        <f>'Nhan cong'!M94</f>
        <v>183120</v>
      </c>
      <c r="U180" s="250">
        <f>ROUND((J180+L180+N180+R180+T180),0)-1</f>
        <v>1436261</v>
      </c>
      <c r="V180" s="250">
        <v>1462422</v>
      </c>
      <c r="W180" s="250">
        <v>1436261</v>
      </c>
      <c r="X180" s="250">
        <v>1397894</v>
      </c>
      <c r="Y180" s="293">
        <v>694500</v>
      </c>
      <c r="Z180" s="294">
        <v>-1</v>
      </c>
      <c r="AA180" s="251"/>
      <c r="AB180" s="251"/>
    </row>
    <row r="181" spans="1:28" s="295" customFormat="1" ht="31.5">
      <c r="A181" s="284">
        <v>151</v>
      </c>
      <c r="B181" s="284">
        <v>0</v>
      </c>
      <c r="C181" s="284" t="s">
        <v>1773</v>
      </c>
      <c r="D181" s="284" t="s">
        <v>1713</v>
      </c>
      <c r="E181" s="285" t="s">
        <v>2568</v>
      </c>
      <c r="F181" s="286" t="s">
        <v>1774</v>
      </c>
      <c r="G181" s="284">
        <v>240</v>
      </c>
      <c r="H181" s="284">
        <v>13</v>
      </c>
      <c r="I181" s="284">
        <v>0.95</v>
      </c>
      <c r="J181" s="287">
        <f t="shared" si="43"/>
        <v>500175</v>
      </c>
      <c r="K181" s="288">
        <v>4.1</v>
      </c>
      <c r="L181" s="289">
        <f t="shared" si="44"/>
        <v>166049.99999999997</v>
      </c>
      <c r="M181" s="288">
        <v>6</v>
      </c>
      <c r="N181" s="289">
        <f t="shared" si="45"/>
        <v>243000</v>
      </c>
      <c r="O181" s="290">
        <v>35.1</v>
      </c>
      <c r="P181" s="291" t="s">
        <v>1590</v>
      </c>
      <c r="Q181" s="288">
        <v>1.05</v>
      </c>
      <c r="R181" s="289">
        <f t="shared" si="46"/>
        <v>706945.9761</v>
      </c>
      <c r="S181" s="292" t="s">
        <v>372</v>
      </c>
      <c r="T181" s="296">
        <f>'Nhan cong'!M94</f>
        <v>183120</v>
      </c>
      <c r="U181" s="250">
        <f>ROUND((J181+L181+N181+R181+T181),0)</f>
        <v>1799291</v>
      </c>
      <c r="V181" s="250">
        <v>1825451</v>
      </c>
      <c r="W181" s="250">
        <v>1799291</v>
      </c>
      <c r="X181" s="250">
        <v>1760923</v>
      </c>
      <c r="Y181" s="293">
        <v>972000</v>
      </c>
      <c r="Z181" s="294"/>
      <c r="AA181" s="251"/>
      <c r="AB181" s="251"/>
    </row>
    <row r="182" spans="1:28" s="295" customFormat="1" ht="15.75">
      <c r="A182" s="297"/>
      <c r="B182" s="284"/>
      <c r="C182" s="298"/>
      <c r="D182" s="284"/>
      <c r="E182" s="272"/>
      <c r="F182" s="149" t="s">
        <v>1775</v>
      </c>
      <c r="G182" s="284"/>
      <c r="H182" s="284"/>
      <c r="I182" s="284"/>
      <c r="J182" s="299"/>
      <c r="K182" s="301"/>
      <c r="L182" s="289"/>
      <c r="M182" s="301"/>
      <c r="N182" s="300"/>
      <c r="O182" s="302"/>
      <c r="P182" s="272"/>
      <c r="Q182" s="288"/>
      <c r="R182" s="300"/>
      <c r="S182" s="284"/>
      <c r="T182" s="296"/>
      <c r="U182" s="250"/>
      <c r="V182" s="250"/>
      <c r="W182" s="250"/>
      <c r="X182" s="250"/>
      <c r="Y182" s="293"/>
      <c r="Z182" s="385"/>
      <c r="AA182" s="251"/>
      <c r="AB182" s="251"/>
    </row>
    <row r="183" spans="1:28" s="295" customFormat="1" ht="31.5">
      <c r="A183" s="284">
        <v>152</v>
      </c>
      <c r="B183" s="284">
        <v>0</v>
      </c>
      <c r="C183" s="284" t="s">
        <v>1776</v>
      </c>
      <c r="D183" s="284" t="s">
        <v>3262</v>
      </c>
      <c r="E183" s="285" t="s">
        <v>2569</v>
      </c>
      <c r="F183" s="286" t="s">
        <v>1777</v>
      </c>
      <c r="G183" s="284">
        <v>220</v>
      </c>
      <c r="H183" s="284">
        <v>17</v>
      </c>
      <c r="I183" s="284">
        <v>0.95</v>
      </c>
      <c r="J183" s="287">
        <f>Y183*H183%*I183/G183*1000</f>
        <v>278917.8409090909</v>
      </c>
      <c r="K183" s="301">
        <v>5.2</v>
      </c>
      <c r="L183" s="289">
        <f>(Y183*K183%)/G183*1000</f>
        <v>89806.36363636365</v>
      </c>
      <c r="M183" s="301">
        <v>6</v>
      </c>
      <c r="N183" s="289">
        <f>(Y183*M183%)/G183*1000</f>
        <v>103622.72727272728</v>
      </c>
      <c r="O183" s="302">
        <v>18.9</v>
      </c>
      <c r="P183" s="272" t="s">
        <v>1590</v>
      </c>
      <c r="Q183" s="288">
        <v>1.05</v>
      </c>
      <c r="R183" s="289">
        <f>O183*diezel*Q183</f>
        <v>380663.2179</v>
      </c>
      <c r="S183" s="292" t="s">
        <v>1778</v>
      </c>
      <c r="T183" s="296">
        <f>'Nhan cong'!M83</f>
        <v>138850.38461538462</v>
      </c>
      <c r="U183" s="250">
        <f>ROUND((J183+L183+N183+R183+T183),0)-1</f>
        <v>991860</v>
      </c>
      <c r="V183" s="250">
        <v>1011696</v>
      </c>
      <c r="W183" s="250">
        <v>991860</v>
      </c>
      <c r="X183" s="250">
        <v>962768</v>
      </c>
      <c r="Y183" s="293">
        <v>379950</v>
      </c>
      <c r="Z183" s="294">
        <v>-1</v>
      </c>
      <c r="AA183" s="251"/>
      <c r="AB183" s="251"/>
    </row>
    <row r="184" spans="1:28" s="295" customFormat="1" ht="31.5">
      <c r="A184" s="284">
        <v>153</v>
      </c>
      <c r="B184" s="284" t="s">
        <v>736</v>
      </c>
      <c r="C184" s="284" t="s">
        <v>1779</v>
      </c>
      <c r="D184" s="284" t="s">
        <v>3263</v>
      </c>
      <c r="E184" s="285" t="s">
        <v>2570</v>
      </c>
      <c r="F184" s="286" t="s">
        <v>1780</v>
      </c>
      <c r="G184" s="284">
        <v>220</v>
      </c>
      <c r="H184" s="284">
        <v>17</v>
      </c>
      <c r="I184" s="284">
        <v>0.95</v>
      </c>
      <c r="J184" s="287">
        <f>Y184*H184%*I184/G184*1000</f>
        <v>411311.13636363635</v>
      </c>
      <c r="K184" s="301">
        <v>5.2</v>
      </c>
      <c r="L184" s="289">
        <f>(Y184*K184%)/G184*1000</f>
        <v>132434.54545454547</v>
      </c>
      <c r="M184" s="301">
        <v>6</v>
      </c>
      <c r="N184" s="289">
        <f>(Y184*M184%)/G184*1000</f>
        <v>152809.0909090909</v>
      </c>
      <c r="O184" s="302">
        <v>27</v>
      </c>
      <c r="P184" s="272" t="s">
        <v>1590</v>
      </c>
      <c r="Q184" s="288">
        <v>1.05</v>
      </c>
      <c r="R184" s="289">
        <f>O184*diezel*Q184</f>
        <v>543804.5970000001</v>
      </c>
      <c r="S184" s="292" t="s">
        <v>365</v>
      </c>
      <c r="T184" s="296">
        <f>'Nhan cong'!M89</f>
        <v>173451.92307692306</v>
      </c>
      <c r="U184" s="250">
        <f>ROUND((J184+L184+N184+R184+T184),0)</f>
        <v>1413811</v>
      </c>
      <c r="V184" s="250">
        <v>1438590</v>
      </c>
      <c r="W184" s="250">
        <v>1413811</v>
      </c>
      <c r="X184" s="250">
        <v>1377469</v>
      </c>
      <c r="Y184" s="293">
        <v>560300</v>
      </c>
      <c r="Z184" s="294"/>
      <c r="AA184" s="251"/>
      <c r="AB184" s="251"/>
    </row>
    <row r="185" spans="1:28" s="295" customFormat="1" ht="15.75">
      <c r="A185" s="297"/>
      <c r="B185" s="284"/>
      <c r="C185" s="298"/>
      <c r="D185" s="284"/>
      <c r="E185" s="272"/>
      <c r="F185" s="149" t="s">
        <v>1781</v>
      </c>
      <c r="G185" s="284"/>
      <c r="H185" s="284"/>
      <c r="I185" s="284"/>
      <c r="J185" s="299"/>
      <c r="K185" s="301"/>
      <c r="L185" s="289"/>
      <c r="M185" s="301"/>
      <c r="N185" s="300"/>
      <c r="O185" s="302"/>
      <c r="P185" s="272"/>
      <c r="Q185" s="288"/>
      <c r="R185" s="300"/>
      <c r="S185" s="284"/>
      <c r="T185" s="296"/>
      <c r="U185" s="250"/>
      <c r="V185" s="250"/>
      <c r="W185" s="250"/>
      <c r="X185" s="250"/>
      <c r="Y185" s="293"/>
      <c r="Z185" s="385"/>
      <c r="AA185" s="251"/>
      <c r="AB185" s="251"/>
    </row>
    <row r="186" spans="1:28" s="295" customFormat="1" ht="29.25" customHeight="1">
      <c r="A186" s="284">
        <v>154</v>
      </c>
      <c r="B186" s="284">
        <v>0</v>
      </c>
      <c r="C186" s="284" t="s">
        <v>1782</v>
      </c>
      <c r="D186" s="284" t="s">
        <v>3264</v>
      </c>
      <c r="E186" s="285" t="s">
        <v>2571</v>
      </c>
      <c r="F186" s="286" t="s">
        <v>1783</v>
      </c>
      <c r="G186" s="284">
        <v>280</v>
      </c>
      <c r="H186" s="284">
        <v>17</v>
      </c>
      <c r="I186" s="284">
        <v>0.95</v>
      </c>
      <c r="J186" s="287">
        <f aca="true" t="shared" si="47" ref="J186:J194">Y186*H186%*I186/G186*1000</f>
        <v>217765.44642857145</v>
      </c>
      <c r="K186" s="301">
        <v>9</v>
      </c>
      <c r="L186" s="289">
        <f aca="true" t="shared" si="48" ref="L186:L194">(Y186*K186%)/G186*1000</f>
        <v>121355.35714285714</v>
      </c>
      <c r="M186" s="301">
        <v>6</v>
      </c>
      <c r="N186" s="289">
        <f aca="true" t="shared" si="49" ref="N186:N194">(Y186*M186%)/G186*1000</f>
        <v>80903.57142857142</v>
      </c>
      <c r="O186" s="302">
        <v>16.1</v>
      </c>
      <c r="P186" s="272" t="s">
        <v>1590</v>
      </c>
      <c r="Q186" s="288">
        <v>1.05</v>
      </c>
      <c r="R186" s="289">
        <f aca="true" t="shared" si="50" ref="R186:R194">O186*diezel*Q186</f>
        <v>324268.6671</v>
      </c>
      <c r="S186" s="292" t="s">
        <v>1703</v>
      </c>
      <c r="T186" s="296">
        <f>T183</f>
        <v>138850.38461538462</v>
      </c>
      <c r="U186" s="250">
        <f>ROUND((J186+L186+N186+R186+T186),0)</f>
        <v>883143</v>
      </c>
      <c r="V186" s="250">
        <v>902979</v>
      </c>
      <c r="W186" s="250">
        <v>883143</v>
      </c>
      <c r="X186" s="250">
        <v>854051</v>
      </c>
      <c r="Y186" s="293">
        <v>377550</v>
      </c>
      <c r="Z186" s="294"/>
      <c r="AA186" s="251"/>
      <c r="AB186" s="251"/>
    </row>
    <row r="187" spans="1:28" s="295" customFormat="1" ht="30.75" customHeight="1">
      <c r="A187" s="284">
        <v>155</v>
      </c>
      <c r="B187" s="284">
        <v>0</v>
      </c>
      <c r="C187" s="284" t="s">
        <v>1784</v>
      </c>
      <c r="D187" s="284" t="s">
        <v>3265</v>
      </c>
      <c r="E187" s="285" t="s">
        <v>2572</v>
      </c>
      <c r="F187" s="286" t="s">
        <v>1785</v>
      </c>
      <c r="G187" s="284">
        <v>280</v>
      </c>
      <c r="H187" s="284">
        <v>17</v>
      </c>
      <c r="I187" s="284">
        <v>0.95</v>
      </c>
      <c r="J187" s="287">
        <f t="shared" si="47"/>
        <v>226849.82142857142</v>
      </c>
      <c r="K187" s="301">
        <v>9</v>
      </c>
      <c r="L187" s="289">
        <f t="shared" si="48"/>
        <v>126417.85714285714</v>
      </c>
      <c r="M187" s="301">
        <v>6</v>
      </c>
      <c r="N187" s="289">
        <f t="shared" si="49"/>
        <v>84278.57142857142</v>
      </c>
      <c r="O187" s="302">
        <v>18</v>
      </c>
      <c r="P187" s="272" t="s">
        <v>1590</v>
      </c>
      <c r="Q187" s="288">
        <v>1.05</v>
      </c>
      <c r="R187" s="289">
        <f t="shared" si="50"/>
        <v>362536.39800000004</v>
      </c>
      <c r="S187" s="292" t="s">
        <v>1703</v>
      </c>
      <c r="T187" s="296">
        <f>T183</f>
        <v>138850.38461538462</v>
      </c>
      <c r="U187" s="250">
        <f>ROUND((J187+L187+N187+R187+T187),0)-1</f>
        <v>938932</v>
      </c>
      <c r="V187" s="250">
        <v>958769</v>
      </c>
      <c r="W187" s="250">
        <v>938932</v>
      </c>
      <c r="X187" s="250">
        <v>909841</v>
      </c>
      <c r="Y187" s="293">
        <v>393300</v>
      </c>
      <c r="Z187" s="294">
        <v>-1</v>
      </c>
      <c r="AA187" s="251"/>
      <c r="AB187" s="251"/>
    </row>
    <row r="188" spans="1:28" s="295" customFormat="1" ht="30.75" customHeight="1">
      <c r="A188" s="284">
        <v>156</v>
      </c>
      <c r="B188" s="284">
        <v>0</v>
      </c>
      <c r="C188" s="284" t="s">
        <v>1786</v>
      </c>
      <c r="D188" s="284" t="s">
        <v>3266</v>
      </c>
      <c r="E188" s="285" t="s">
        <v>2573</v>
      </c>
      <c r="F188" s="286" t="s">
        <v>1787</v>
      </c>
      <c r="G188" s="284">
        <v>280</v>
      </c>
      <c r="H188" s="284">
        <v>17</v>
      </c>
      <c r="I188" s="284">
        <v>0.95</v>
      </c>
      <c r="J188" s="287">
        <f t="shared" si="47"/>
        <v>314146.33928571426</v>
      </c>
      <c r="K188" s="301">
        <v>9</v>
      </c>
      <c r="L188" s="289">
        <f t="shared" si="48"/>
        <v>175066.07142857142</v>
      </c>
      <c r="M188" s="301">
        <v>6</v>
      </c>
      <c r="N188" s="289">
        <f t="shared" si="49"/>
        <v>116710.71428571429</v>
      </c>
      <c r="O188" s="302">
        <v>20.8</v>
      </c>
      <c r="P188" s="272" t="s">
        <v>1590</v>
      </c>
      <c r="Q188" s="288">
        <v>1.05</v>
      </c>
      <c r="R188" s="289">
        <f t="shared" si="50"/>
        <v>418930.9488000001</v>
      </c>
      <c r="S188" s="292" t="s">
        <v>1703</v>
      </c>
      <c r="T188" s="296">
        <f>T183</f>
        <v>138850.38461538462</v>
      </c>
      <c r="U188" s="250">
        <f>ROUND((J188+L188+N188+R188+T188),0)</f>
        <v>1163704</v>
      </c>
      <c r="V188" s="250">
        <v>1183540</v>
      </c>
      <c r="W188" s="250">
        <v>1163704</v>
      </c>
      <c r="X188" s="250">
        <v>1134612</v>
      </c>
      <c r="Y188" s="293">
        <v>544650</v>
      </c>
      <c r="Z188" s="294"/>
      <c r="AA188" s="251"/>
      <c r="AB188" s="251"/>
    </row>
    <row r="189" spans="1:28" s="295" customFormat="1" ht="31.5">
      <c r="A189" s="284">
        <v>157</v>
      </c>
      <c r="B189" s="284">
        <v>0</v>
      </c>
      <c r="C189" s="284" t="s">
        <v>1788</v>
      </c>
      <c r="D189" s="284" t="s">
        <v>3267</v>
      </c>
      <c r="E189" s="285" t="s">
        <v>2574</v>
      </c>
      <c r="F189" s="286" t="s">
        <v>1789</v>
      </c>
      <c r="G189" s="284">
        <v>280</v>
      </c>
      <c r="H189" s="284">
        <v>17</v>
      </c>
      <c r="I189" s="284">
        <v>0.95</v>
      </c>
      <c r="J189" s="287">
        <f t="shared" si="47"/>
        <v>368450.7142857144</v>
      </c>
      <c r="K189" s="301">
        <v>9</v>
      </c>
      <c r="L189" s="289">
        <f t="shared" si="48"/>
        <v>205328.57142857142</v>
      </c>
      <c r="M189" s="301">
        <v>6</v>
      </c>
      <c r="N189" s="289">
        <f t="shared" si="49"/>
        <v>136885.71428571426</v>
      </c>
      <c r="O189" s="302">
        <v>40.5</v>
      </c>
      <c r="P189" s="272" t="s">
        <v>1590</v>
      </c>
      <c r="Q189" s="288">
        <v>1.05</v>
      </c>
      <c r="R189" s="289">
        <f t="shared" si="50"/>
        <v>815706.8955</v>
      </c>
      <c r="S189" s="292" t="s">
        <v>360</v>
      </c>
      <c r="T189" s="296">
        <f>'Nhan cong'!M88</f>
        <v>148518.46153846153</v>
      </c>
      <c r="U189" s="250">
        <f>ROUND((J189+L189+N189+R189+T189),0)-1</f>
        <v>1674889</v>
      </c>
      <c r="V189" s="250">
        <v>1696107</v>
      </c>
      <c r="W189" s="250">
        <v>1674889</v>
      </c>
      <c r="X189" s="250">
        <v>1643772</v>
      </c>
      <c r="Y189" s="293">
        <v>638800</v>
      </c>
      <c r="Z189" s="294">
        <v>-1</v>
      </c>
      <c r="AA189" s="251"/>
      <c r="AB189" s="251"/>
    </row>
    <row r="190" spans="1:28" s="295" customFormat="1" ht="31.5">
      <c r="A190" s="284">
        <v>158</v>
      </c>
      <c r="B190" s="284">
        <v>0</v>
      </c>
      <c r="C190" s="284" t="s">
        <v>1790</v>
      </c>
      <c r="D190" s="284" t="s">
        <v>3268</v>
      </c>
      <c r="E190" s="285" t="s">
        <v>2575</v>
      </c>
      <c r="F190" s="286" t="s">
        <v>1791</v>
      </c>
      <c r="G190" s="284">
        <v>280</v>
      </c>
      <c r="H190" s="284">
        <v>17</v>
      </c>
      <c r="I190" s="284">
        <v>0.95</v>
      </c>
      <c r="J190" s="287">
        <f t="shared" si="47"/>
        <v>422899.28571428574</v>
      </c>
      <c r="K190" s="301">
        <v>8.5</v>
      </c>
      <c r="L190" s="289">
        <f t="shared" si="48"/>
        <v>222578.57142857145</v>
      </c>
      <c r="M190" s="301">
        <v>6</v>
      </c>
      <c r="N190" s="289">
        <f t="shared" si="49"/>
        <v>157114.28571428574</v>
      </c>
      <c r="O190" s="302">
        <v>51.3</v>
      </c>
      <c r="P190" s="272" t="s">
        <v>1590</v>
      </c>
      <c r="Q190" s="288">
        <v>1.05</v>
      </c>
      <c r="R190" s="289">
        <f t="shared" si="50"/>
        <v>1033228.7343</v>
      </c>
      <c r="S190" s="292" t="s">
        <v>360</v>
      </c>
      <c r="T190" s="296">
        <f>'Nhan cong'!M88</f>
        <v>148518.46153846153</v>
      </c>
      <c r="U190" s="250">
        <f>ROUND((J190+L190+N190+R190+T190),0)-1</f>
        <v>1984338</v>
      </c>
      <c r="V190" s="250">
        <v>2005556</v>
      </c>
      <c r="W190" s="250">
        <v>1984338</v>
      </c>
      <c r="X190" s="250">
        <v>1953221</v>
      </c>
      <c r="Y190" s="293">
        <v>733200</v>
      </c>
      <c r="Z190" s="294">
        <v>-1</v>
      </c>
      <c r="AA190" s="251"/>
      <c r="AB190" s="251"/>
    </row>
    <row r="191" spans="1:28" s="295" customFormat="1" ht="31.5">
      <c r="A191" s="284">
        <v>159</v>
      </c>
      <c r="B191" s="284">
        <v>0</v>
      </c>
      <c r="C191" s="284" t="s">
        <v>1792</v>
      </c>
      <c r="D191" s="284" t="s">
        <v>3269</v>
      </c>
      <c r="E191" s="285" t="s">
        <v>2576</v>
      </c>
      <c r="F191" s="286" t="s">
        <v>1793</v>
      </c>
      <c r="G191" s="284">
        <v>280</v>
      </c>
      <c r="H191" s="284">
        <v>17</v>
      </c>
      <c r="I191" s="284">
        <v>0.95</v>
      </c>
      <c r="J191" s="287">
        <f t="shared" si="47"/>
        <v>471378.125</v>
      </c>
      <c r="K191" s="301">
        <v>8.5</v>
      </c>
      <c r="L191" s="289">
        <f t="shared" si="48"/>
        <v>248093.75</v>
      </c>
      <c r="M191" s="301">
        <v>6</v>
      </c>
      <c r="N191" s="289">
        <f t="shared" si="49"/>
        <v>175125</v>
      </c>
      <c r="O191" s="302">
        <v>64.8</v>
      </c>
      <c r="P191" s="272" t="s">
        <v>1590</v>
      </c>
      <c r="Q191" s="288">
        <v>1.05</v>
      </c>
      <c r="R191" s="289">
        <f t="shared" si="50"/>
        <v>1305131.0328</v>
      </c>
      <c r="S191" s="292" t="s">
        <v>372</v>
      </c>
      <c r="T191" s="296">
        <f>'Nhan cong'!M94</f>
        <v>183120</v>
      </c>
      <c r="U191" s="250">
        <f>ROUND((J191+L191+N191+R191+T191),0)-1</f>
        <v>2382847</v>
      </c>
      <c r="V191" s="250">
        <v>2409008</v>
      </c>
      <c r="W191" s="250">
        <v>2382847</v>
      </c>
      <c r="X191" s="250">
        <v>2344480</v>
      </c>
      <c r="Y191" s="293">
        <v>817250</v>
      </c>
      <c r="Z191" s="294">
        <v>-1</v>
      </c>
      <c r="AA191" s="251"/>
      <c r="AB191" s="251"/>
    </row>
    <row r="192" spans="1:28" s="295" customFormat="1" ht="47.25">
      <c r="A192" s="284">
        <v>160</v>
      </c>
      <c r="B192" s="284">
        <v>0</v>
      </c>
      <c r="C192" s="284" t="s">
        <v>1794</v>
      </c>
      <c r="D192" s="284" t="s">
        <v>3270</v>
      </c>
      <c r="E192" s="285" t="s">
        <v>1795</v>
      </c>
      <c r="F192" s="286" t="s">
        <v>1795</v>
      </c>
      <c r="G192" s="284">
        <v>280</v>
      </c>
      <c r="H192" s="284">
        <v>17</v>
      </c>
      <c r="I192" s="284">
        <v>0.95</v>
      </c>
      <c r="J192" s="287">
        <f t="shared" si="47"/>
        <v>549965.1785714286</v>
      </c>
      <c r="K192" s="301">
        <v>8.5</v>
      </c>
      <c r="L192" s="289">
        <f t="shared" si="48"/>
        <v>289455.35714285716</v>
      </c>
      <c r="M192" s="301">
        <v>6</v>
      </c>
      <c r="N192" s="289">
        <f t="shared" si="49"/>
        <v>204321.42857142858</v>
      </c>
      <c r="O192" s="302">
        <v>64.8</v>
      </c>
      <c r="P192" s="272" t="s">
        <v>1590</v>
      </c>
      <c r="Q192" s="288">
        <v>1.05</v>
      </c>
      <c r="R192" s="289">
        <f t="shared" si="50"/>
        <v>1305131.0328</v>
      </c>
      <c r="S192" s="292" t="s">
        <v>372</v>
      </c>
      <c r="T192" s="296">
        <f>'Nhan cong'!M94</f>
        <v>183120</v>
      </c>
      <c r="U192" s="250">
        <f>ROUND((J192+L192+N192+R192+T192),0)-1</f>
        <v>2531992</v>
      </c>
      <c r="V192" s="250">
        <v>2558153</v>
      </c>
      <c r="W192" s="250">
        <v>2531992</v>
      </c>
      <c r="X192" s="250">
        <v>2493625</v>
      </c>
      <c r="Y192" s="293">
        <v>953500</v>
      </c>
      <c r="Z192" s="294">
        <v>-1</v>
      </c>
      <c r="AA192" s="251"/>
      <c r="AB192" s="251"/>
    </row>
    <row r="193" spans="1:28" s="295" customFormat="1" ht="47.25">
      <c r="A193" s="284">
        <v>161</v>
      </c>
      <c r="B193" s="284">
        <v>0</v>
      </c>
      <c r="C193" s="284" t="s">
        <v>1796</v>
      </c>
      <c r="D193" s="284" t="s">
        <v>3271</v>
      </c>
      <c r="E193" s="285" t="s">
        <v>3157</v>
      </c>
      <c r="F193" s="286" t="s">
        <v>1797</v>
      </c>
      <c r="G193" s="284">
        <v>280</v>
      </c>
      <c r="H193" s="284">
        <v>17</v>
      </c>
      <c r="I193" s="284">
        <v>0.95</v>
      </c>
      <c r="J193" s="287">
        <f t="shared" si="47"/>
        <v>216813.75000000003</v>
      </c>
      <c r="K193" s="301">
        <v>9</v>
      </c>
      <c r="L193" s="289">
        <f t="shared" si="48"/>
        <v>120825</v>
      </c>
      <c r="M193" s="301">
        <v>6</v>
      </c>
      <c r="N193" s="289">
        <f t="shared" si="49"/>
        <v>80550</v>
      </c>
      <c r="O193" s="302">
        <v>20.8</v>
      </c>
      <c r="P193" s="272" t="s">
        <v>1590</v>
      </c>
      <c r="Q193" s="288">
        <v>1.05</v>
      </c>
      <c r="R193" s="289">
        <f t="shared" si="50"/>
        <v>418930.9488000001</v>
      </c>
      <c r="S193" s="292" t="s">
        <v>1703</v>
      </c>
      <c r="T193" s="296">
        <f>'Nhan cong'!M83</f>
        <v>138850.38461538462</v>
      </c>
      <c r="U193" s="250">
        <f>ROUND((J193+L193+N193+R193+T193),0)-1</f>
        <v>975969</v>
      </c>
      <c r="V193" s="250">
        <v>995806</v>
      </c>
      <c r="W193" s="250">
        <v>975969</v>
      </c>
      <c r="X193" s="250">
        <v>946878</v>
      </c>
      <c r="Y193" s="293">
        <v>375900</v>
      </c>
      <c r="Z193" s="294">
        <v>-1</v>
      </c>
      <c r="AA193" s="251"/>
      <c r="AB193" s="251"/>
    </row>
    <row r="194" spans="1:28" s="295" customFormat="1" ht="31.5">
      <c r="A194" s="297">
        <v>162</v>
      </c>
      <c r="B194" s="284">
        <v>0</v>
      </c>
      <c r="C194" s="298" t="s">
        <v>1798</v>
      </c>
      <c r="D194" s="284" t="s">
        <v>3272</v>
      </c>
      <c r="E194" s="285" t="s">
        <v>3158</v>
      </c>
      <c r="F194" s="286" t="s">
        <v>1799</v>
      </c>
      <c r="G194" s="284">
        <v>120</v>
      </c>
      <c r="H194" s="284">
        <v>17</v>
      </c>
      <c r="I194" s="284">
        <v>0.95</v>
      </c>
      <c r="J194" s="287">
        <f t="shared" si="47"/>
        <v>747610.4166666666</v>
      </c>
      <c r="K194" s="301">
        <v>4.5</v>
      </c>
      <c r="L194" s="289">
        <f t="shared" si="48"/>
        <v>208312.5</v>
      </c>
      <c r="M194" s="301">
        <v>6</v>
      </c>
      <c r="N194" s="289">
        <f t="shared" si="49"/>
        <v>277750</v>
      </c>
      <c r="O194" s="302">
        <v>15.1</v>
      </c>
      <c r="P194" s="272" t="s">
        <v>1590</v>
      </c>
      <c r="Q194" s="288">
        <v>1.05</v>
      </c>
      <c r="R194" s="289">
        <f t="shared" si="50"/>
        <v>304127.7561</v>
      </c>
      <c r="S194" s="292" t="s">
        <v>1703</v>
      </c>
      <c r="T194" s="296">
        <f>'Nhan cong'!M83</f>
        <v>138850.38461538462</v>
      </c>
      <c r="U194" s="250">
        <f>ROUND((J194+L194+N194+R194+T194),0)</f>
        <v>1676651</v>
      </c>
      <c r="V194" s="250">
        <v>1696487</v>
      </c>
      <c r="W194" s="250">
        <v>1676651</v>
      </c>
      <c r="X194" s="250">
        <v>1647559</v>
      </c>
      <c r="Y194" s="293">
        <v>555500</v>
      </c>
      <c r="Z194" s="294"/>
      <c r="AA194" s="251"/>
      <c r="AB194" s="251"/>
    </row>
    <row r="195" spans="1:28" s="295" customFormat="1" ht="15.75">
      <c r="A195" s="297"/>
      <c r="B195" s="284"/>
      <c r="C195" s="298"/>
      <c r="D195" s="284"/>
      <c r="E195" s="272"/>
      <c r="F195" s="151" t="s">
        <v>1800</v>
      </c>
      <c r="G195" s="284"/>
      <c r="H195" s="284"/>
      <c r="I195" s="284"/>
      <c r="J195" s="299"/>
      <c r="K195" s="288"/>
      <c r="L195" s="289"/>
      <c r="M195" s="288"/>
      <c r="N195" s="300"/>
      <c r="O195" s="290"/>
      <c r="P195" s="291"/>
      <c r="Q195" s="288"/>
      <c r="R195" s="300"/>
      <c r="S195" s="292"/>
      <c r="T195" s="296"/>
      <c r="U195" s="250"/>
      <c r="V195" s="250"/>
      <c r="W195" s="250"/>
      <c r="X195" s="250"/>
      <c r="Y195" s="293"/>
      <c r="Z195" s="385"/>
      <c r="AA195" s="251"/>
      <c r="AB195" s="251"/>
    </row>
    <row r="196" spans="1:28" s="295" customFormat="1" ht="31.5">
      <c r="A196" s="284">
        <v>163</v>
      </c>
      <c r="B196" s="284">
        <v>0</v>
      </c>
      <c r="C196" s="284" t="s">
        <v>1801</v>
      </c>
      <c r="D196" s="284" t="s">
        <v>3273</v>
      </c>
      <c r="E196" s="285" t="s">
        <v>2577</v>
      </c>
      <c r="F196" s="286" t="s">
        <v>1802</v>
      </c>
      <c r="G196" s="284">
        <v>240</v>
      </c>
      <c r="H196" s="284">
        <v>17</v>
      </c>
      <c r="I196" s="284">
        <v>0.95</v>
      </c>
      <c r="J196" s="287">
        <f>Y196*H196%*I196/G196*1000</f>
        <v>445168.0208333334</v>
      </c>
      <c r="K196" s="288">
        <v>4.55</v>
      </c>
      <c r="L196" s="289">
        <f>(Y196*K196%)/G196*1000</f>
        <v>125418.85416666666</v>
      </c>
      <c r="M196" s="288">
        <v>6</v>
      </c>
      <c r="N196" s="289">
        <f>(Y196*M196%)/G196*1000</f>
        <v>165387.5</v>
      </c>
      <c r="O196" s="290">
        <v>27</v>
      </c>
      <c r="P196" s="291" t="s">
        <v>1590</v>
      </c>
      <c r="Q196" s="288">
        <v>1.05</v>
      </c>
      <c r="R196" s="289">
        <f>O196*diezel*Q196</f>
        <v>543804.5970000001</v>
      </c>
      <c r="S196" s="292" t="s">
        <v>1803</v>
      </c>
      <c r="T196" s="296">
        <f>'Nhan cong'!M87+'Nhan cong'!M89</f>
        <v>301107.6923076923</v>
      </c>
      <c r="U196" s="250">
        <f>ROUND((J196+L196+N196+R196+T196),0)</f>
        <v>1580887</v>
      </c>
      <c r="V196" s="250">
        <v>1623902</v>
      </c>
      <c r="W196" s="250">
        <v>1580887</v>
      </c>
      <c r="X196" s="250">
        <v>1517797</v>
      </c>
      <c r="Y196" s="293">
        <v>661550</v>
      </c>
      <c r="Z196" s="294"/>
      <c r="AA196" s="251"/>
      <c r="AB196" s="251"/>
    </row>
    <row r="197" spans="1:28" s="295" customFormat="1" ht="31.5">
      <c r="A197" s="284">
        <v>164</v>
      </c>
      <c r="B197" s="284">
        <v>0</v>
      </c>
      <c r="C197" s="284" t="s">
        <v>1804</v>
      </c>
      <c r="D197" s="284" t="s">
        <v>3274</v>
      </c>
      <c r="E197" s="285" t="s">
        <v>2578</v>
      </c>
      <c r="F197" s="286" t="s">
        <v>364</v>
      </c>
      <c r="G197" s="284">
        <v>240</v>
      </c>
      <c r="H197" s="284">
        <v>17</v>
      </c>
      <c r="I197" s="284">
        <v>0.95</v>
      </c>
      <c r="J197" s="287">
        <f>Y197*H197%*I197/G197*1000</f>
        <v>530796.6666666666</v>
      </c>
      <c r="K197" s="288">
        <v>4.55</v>
      </c>
      <c r="L197" s="289">
        <f>(Y197*K197%)/G197*1000</f>
        <v>149543.33333333334</v>
      </c>
      <c r="M197" s="288">
        <v>6</v>
      </c>
      <c r="N197" s="289">
        <f>(Y197*M197%)/G197*1000</f>
        <v>197200</v>
      </c>
      <c r="O197" s="290">
        <v>28.8</v>
      </c>
      <c r="P197" s="291" t="s">
        <v>1590</v>
      </c>
      <c r="Q197" s="288">
        <v>1.05</v>
      </c>
      <c r="R197" s="289">
        <f>O197*diezel*Q197</f>
        <v>580058.2368</v>
      </c>
      <c r="S197" s="292" t="s">
        <v>1803</v>
      </c>
      <c r="T197" s="296">
        <f>'Nhan cong'!M87+'Nhan cong'!M89</f>
        <v>301107.6923076923</v>
      </c>
      <c r="U197" s="250">
        <f>ROUND((J197+L197+N197+R197+T197),0)</f>
        <v>1758706</v>
      </c>
      <c r="V197" s="250">
        <v>1801721</v>
      </c>
      <c r="W197" s="250">
        <v>1758706</v>
      </c>
      <c r="X197" s="250">
        <v>1695616</v>
      </c>
      <c r="Y197" s="293">
        <v>788800</v>
      </c>
      <c r="Z197" s="294"/>
      <c r="AA197" s="251"/>
      <c r="AB197" s="251"/>
    </row>
    <row r="198" spans="1:28" s="295" customFormat="1" ht="31.5">
      <c r="A198" s="284">
        <v>165</v>
      </c>
      <c r="B198" s="284">
        <v>0</v>
      </c>
      <c r="C198" s="284" t="s">
        <v>1805</v>
      </c>
      <c r="D198" s="284" t="s">
        <v>3275</v>
      </c>
      <c r="E198" s="285" t="s">
        <v>2579</v>
      </c>
      <c r="F198" s="286" t="s">
        <v>367</v>
      </c>
      <c r="G198" s="284">
        <v>240</v>
      </c>
      <c r="H198" s="284">
        <v>17</v>
      </c>
      <c r="I198" s="284">
        <v>0.95</v>
      </c>
      <c r="J198" s="287">
        <f>Y198*H198%*I198/G198*1000</f>
        <v>665884.6874999999</v>
      </c>
      <c r="K198" s="288">
        <v>4.35</v>
      </c>
      <c r="L198" s="289">
        <f>(Y198*K198%)/G198*1000</f>
        <v>179355.93749999997</v>
      </c>
      <c r="M198" s="288">
        <v>6</v>
      </c>
      <c r="N198" s="289">
        <f>(Y198*M198%)/G198*1000</f>
        <v>247387.5</v>
      </c>
      <c r="O198" s="290">
        <v>30.6</v>
      </c>
      <c r="P198" s="291" t="s">
        <v>1590</v>
      </c>
      <c r="Q198" s="288">
        <v>1.05</v>
      </c>
      <c r="R198" s="289">
        <f>O198*diezel*Q198</f>
        <v>616311.8766000001</v>
      </c>
      <c r="S198" s="292" t="s">
        <v>1803</v>
      </c>
      <c r="T198" s="296">
        <f>'Nhan cong'!M87+'Nhan cong'!M89</f>
        <v>301107.6923076923</v>
      </c>
      <c r="U198" s="250">
        <f>ROUND((J198+L198+N198+R198+T198),0)</f>
        <v>2010048</v>
      </c>
      <c r="V198" s="250">
        <v>2053063</v>
      </c>
      <c r="W198" s="250">
        <v>2010048</v>
      </c>
      <c r="X198" s="250">
        <v>1946958</v>
      </c>
      <c r="Y198" s="293">
        <v>989550</v>
      </c>
      <c r="Z198" s="294"/>
      <c r="AA198" s="251"/>
      <c r="AB198" s="251"/>
    </row>
    <row r="199" spans="1:28" s="295" customFormat="1" ht="31.5">
      <c r="A199" s="284">
        <v>166</v>
      </c>
      <c r="B199" s="284">
        <v>0</v>
      </c>
      <c r="C199" s="284" t="s">
        <v>1806</v>
      </c>
      <c r="D199" s="284" t="s">
        <v>3276</v>
      </c>
      <c r="E199" s="285" t="s">
        <v>2580</v>
      </c>
      <c r="F199" s="286" t="s">
        <v>339</v>
      </c>
      <c r="G199" s="284">
        <v>230</v>
      </c>
      <c r="H199" s="284">
        <v>17</v>
      </c>
      <c r="I199" s="284">
        <v>0.95</v>
      </c>
      <c r="J199" s="287">
        <f>Y199*H199%*I199/G199*1000</f>
        <v>993365.4347826088</v>
      </c>
      <c r="K199" s="288">
        <v>4.35</v>
      </c>
      <c r="L199" s="289">
        <f>(Y199*K199%)/G199*1000</f>
        <v>267562.82608695654</v>
      </c>
      <c r="M199" s="288">
        <v>6</v>
      </c>
      <c r="N199" s="289">
        <f>(Y199*M199%)/G199*1000</f>
        <v>369052.17391304346</v>
      </c>
      <c r="O199" s="290">
        <v>37.8</v>
      </c>
      <c r="P199" s="291" t="s">
        <v>1590</v>
      </c>
      <c r="Q199" s="288">
        <v>1.05</v>
      </c>
      <c r="R199" s="289">
        <f>O199*diezel*Q199</f>
        <v>761326.4358</v>
      </c>
      <c r="S199" s="292" t="s">
        <v>1749</v>
      </c>
      <c r="T199" s="296">
        <f>'Nhan cong'!M92+'Nhan cong'!M94</f>
        <v>318917.3076923077</v>
      </c>
      <c r="U199" s="250">
        <f>ROUND((J199+L199+N199+R199+T199),0)-1</f>
        <v>2710223</v>
      </c>
      <c r="V199" s="250">
        <v>2755784</v>
      </c>
      <c r="W199" s="250">
        <v>2710223</v>
      </c>
      <c r="X199" s="250">
        <v>2643404</v>
      </c>
      <c r="Y199" s="293">
        <v>1414700</v>
      </c>
      <c r="Z199" s="294">
        <v>-1</v>
      </c>
      <c r="AA199" s="251"/>
      <c r="AB199" s="251"/>
    </row>
    <row r="200" spans="1:28" s="295" customFormat="1" ht="15.75">
      <c r="A200" s="297"/>
      <c r="B200" s="284"/>
      <c r="C200" s="298"/>
      <c r="D200" s="284"/>
      <c r="E200" s="272"/>
      <c r="F200" s="149" t="s">
        <v>1807</v>
      </c>
      <c r="G200" s="284"/>
      <c r="H200" s="284"/>
      <c r="I200" s="284"/>
      <c r="J200" s="299"/>
      <c r="K200" s="301"/>
      <c r="L200" s="289"/>
      <c r="M200" s="301"/>
      <c r="N200" s="300"/>
      <c r="O200" s="302"/>
      <c r="P200" s="272"/>
      <c r="Q200" s="288"/>
      <c r="R200" s="300"/>
      <c r="S200" s="284"/>
      <c r="T200" s="296"/>
      <c r="U200" s="250"/>
      <c r="V200" s="250"/>
      <c r="W200" s="250"/>
      <c r="X200" s="250"/>
      <c r="Y200" s="293"/>
      <c r="Z200" s="385"/>
      <c r="AA200" s="251"/>
      <c r="AB200" s="251"/>
    </row>
    <row r="201" spans="1:28" s="295" customFormat="1" ht="15.75">
      <c r="A201" s="284">
        <v>167</v>
      </c>
      <c r="B201" s="284">
        <v>0</v>
      </c>
      <c r="C201" s="284" t="s">
        <v>1808</v>
      </c>
      <c r="D201" s="284" t="s">
        <v>3276</v>
      </c>
      <c r="E201" s="285" t="s">
        <v>2581</v>
      </c>
      <c r="F201" s="286" t="s">
        <v>1785</v>
      </c>
      <c r="G201" s="284">
        <v>200</v>
      </c>
      <c r="H201" s="284">
        <v>18</v>
      </c>
      <c r="I201" s="284">
        <v>0.95</v>
      </c>
      <c r="J201" s="287">
        <f>Y201*H201%*I201/G201*1000</f>
        <v>268256.25</v>
      </c>
      <c r="K201" s="301">
        <v>4.5</v>
      </c>
      <c r="L201" s="289">
        <f>(Y201*K201%)/G201*1000</f>
        <v>70593.75</v>
      </c>
      <c r="M201" s="301">
        <v>6</v>
      </c>
      <c r="N201" s="289">
        <f>(Y201*M201%)/G201*1000</f>
        <v>94125</v>
      </c>
      <c r="O201" s="302">
        <v>18</v>
      </c>
      <c r="P201" s="272" t="s">
        <v>294</v>
      </c>
      <c r="Q201" s="288">
        <v>1.03</v>
      </c>
      <c r="R201" s="289">
        <f>O201*xang*Q201</f>
        <v>359001.88560000004</v>
      </c>
      <c r="S201" s="284" t="s">
        <v>354</v>
      </c>
      <c r="T201" s="296">
        <f>'Nhan cong'!M83</f>
        <v>138850.38461538462</v>
      </c>
      <c r="U201" s="250">
        <f>ROUND((J201+L201+N201+R201+T201),0)</f>
        <v>930827</v>
      </c>
      <c r="V201" s="250">
        <v>950663</v>
      </c>
      <c r="W201" s="250">
        <v>930827</v>
      </c>
      <c r="X201" s="250">
        <v>901735</v>
      </c>
      <c r="Y201" s="293">
        <v>313750</v>
      </c>
      <c r="Z201" s="294"/>
      <c r="AA201" s="251"/>
      <c r="AB201" s="251"/>
    </row>
    <row r="202" spans="1:28" s="295" customFormat="1" ht="15.75">
      <c r="A202" s="297"/>
      <c r="B202" s="284"/>
      <c r="C202" s="298"/>
      <c r="D202" s="284"/>
      <c r="E202" s="272"/>
      <c r="F202" s="151" t="s">
        <v>1809</v>
      </c>
      <c r="G202" s="284"/>
      <c r="H202" s="284"/>
      <c r="I202" s="284"/>
      <c r="J202" s="299"/>
      <c r="K202" s="288"/>
      <c r="L202" s="289"/>
      <c r="M202" s="288"/>
      <c r="N202" s="300"/>
      <c r="O202" s="290"/>
      <c r="P202" s="291"/>
      <c r="Q202" s="288"/>
      <c r="R202" s="300"/>
      <c r="S202" s="292"/>
      <c r="T202" s="296"/>
      <c r="U202" s="250"/>
      <c r="V202" s="250"/>
      <c r="W202" s="250"/>
      <c r="X202" s="250"/>
      <c r="Y202" s="293"/>
      <c r="Z202" s="385"/>
      <c r="AA202" s="251"/>
      <c r="AB202" s="251"/>
    </row>
    <row r="203" spans="1:28" s="295" customFormat="1" ht="31.5">
      <c r="A203" s="284">
        <v>168</v>
      </c>
      <c r="B203" s="284">
        <v>0</v>
      </c>
      <c r="C203" s="284" t="s">
        <v>1810</v>
      </c>
      <c r="D203" s="284" t="s">
        <v>3277</v>
      </c>
      <c r="E203" s="285" t="s">
        <v>2582</v>
      </c>
      <c r="F203" s="286" t="s">
        <v>353</v>
      </c>
      <c r="G203" s="284">
        <v>200</v>
      </c>
      <c r="H203" s="284">
        <v>20</v>
      </c>
      <c r="I203" s="284">
        <v>0.95</v>
      </c>
      <c r="J203" s="287">
        <f aca="true" t="shared" si="51" ref="J203:J211">Y203*H203%*I203/G203*1000</f>
        <v>39520</v>
      </c>
      <c r="K203" s="288">
        <v>4.9</v>
      </c>
      <c r="L203" s="289">
        <f aca="true" t="shared" si="52" ref="L203:L211">(Y203*K203%)/G203*1000</f>
        <v>10192</v>
      </c>
      <c r="M203" s="288">
        <v>6</v>
      </c>
      <c r="N203" s="289">
        <f aca="true" t="shared" si="53" ref="N203:N211">(Y203*M203%)/G203*1000</f>
        <v>12480</v>
      </c>
      <c r="O203" s="290"/>
      <c r="P203" s="291"/>
      <c r="Q203" s="288">
        <v>1.05</v>
      </c>
      <c r="R203" s="300"/>
      <c r="S203" s="292" t="s">
        <v>1811</v>
      </c>
      <c r="T203" s="296">
        <f>'Nhan cong'!M82</f>
        <v>119005.38461538461</v>
      </c>
      <c r="U203" s="250">
        <f aca="true" t="shared" si="54" ref="U203:U210">ROUND((J203+L203+N203+R203+T203),0)</f>
        <v>181197</v>
      </c>
      <c r="V203" s="250">
        <v>198198</v>
      </c>
      <c r="W203" s="250">
        <v>181197</v>
      </c>
      <c r="X203" s="250">
        <v>156263</v>
      </c>
      <c r="Y203" s="293">
        <v>41600</v>
      </c>
      <c r="Z203" s="294"/>
      <c r="AA203" s="251"/>
      <c r="AB203" s="251"/>
    </row>
    <row r="204" spans="1:28" s="295" customFormat="1" ht="31.5">
      <c r="A204" s="284">
        <v>169</v>
      </c>
      <c r="B204" s="284">
        <v>0</v>
      </c>
      <c r="C204" s="284" t="s">
        <v>1812</v>
      </c>
      <c r="D204" s="284" t="s">
        <v>3278</v>
      </c>
      <c r="E204" s="285" t="s">
        <v>81</v>
      </c>
      <c r="F204" s="286" t="s">
        <v>359</v>
      </c>
      <c r="G204" s="284">
        <v>200</v>
      </c>
      <c r="H204" s="284">
        <v>20</v>
      </c>
      <c r="I204" s="284">
        <v>0.95</v>
      </c>
      <c r="J204" s="287">
        <f t="shared" si="51"/>
        <v>52820</v>
      </c>
      <c r="K204" s="288">
        <v>4.9</v>
      </c>
      <c r="L204" s="289">
        <f t="shared" si="52"/>
        <v>13622</v>
      </c>
      <c r="M204" s="288">
        <v>6</v>
      </c>
      <c r="N204" s="289">
        <f t="shared" si="53"/>
        <v>16680</v>
      </c>
      <c r="O204" s="290"/>
      <c r="P204" s="291"/>
      <c r="Q204" s="288">
        <v>1.05</v>
      </c>
      <c r="R204" s="300"/>
      <c r="S204" s="292" t="s">
        <v>1813</v>
      </c>
      <c r="T204" s="296">
        <f>'Nhan cong'!M87</f>
        <v>127655.76923076923</v>
      </c>
      <c r="U204" s="250">
        <f t="shared" si="54"/>
        <v>210778</v>
      </c>
      <c r="V204" s="250">
        <v>229014</v>
      </c>
      <c r="W204" s="250">
        <v>210778</v>
      </c>
      <c r="X204" s="250">
        <v>184031</v>
      </c>
      <c r="Y204" s="293">
        <v>55600</v>
      </c>
      <c r="Z204" s="294"/>
      <c r="AA204" s="251"/>
      <c r="AB204" s="251"/>
    </row>
    <row r="205" spans="1:28" s="295" customFormat="1" ht="31.5">
      <c r="A205" s="284">
        <v>170</v>
      </c>
      <c r="B205" s="284">
        <v>0</v>
      </c>
      <c r="C205" s="284" t="s">
        <v>1814</v>
      </c>
      <c r="D205" s="284" t="s">
        <v>3279</v>
      </c>
      <c r="E205" s="285" t="s">
        <v>2583</v>
      </c>
      <c r="F205" s="286" t="s">
        <v>1815</v>
      </c>
      <c r="G205" s="284">
        <v>200</v>
      </c>
      <c r="H205" s="284">
        <v>16</v>
      </c>
      <c r="I205" s="284">
        <v>0.95</v>
      </c>
      <c r="J205" s="287">
        <f t="shared" si="51"/>
        <v>55784</v>
      </c>
      <c r="K205" s="288">
        <v>4.32</v>
      </c>
      <c r="L205" s="289">
        <f t="shared" si="52"/>
        <v>15854.4</v>
      </c>
      <c r="M205" s="288">
        <v>6</v>
      </c>
      <c r="N205" s="289">
        <f t="shared" si="53"/>
        <v>22020</v>
      </c>
      <c r="O205" s="290"/>
      <c r="P205" s="291"/>
      <c r="Q205" s="288">
        <v>1.05</v>
      </c>
      <c r="R205" s="300"/>
      <c r="S205" s="292" t="s">
        <v>1816</v>
      </c>
      <c r="T205" s="296">
        <f>'Nhan cong'!M92</f>
        <v>135797.3076923077</v>
      </c>
      <c r="U205" s="250">
        <f>ROUND((J205+L205+N205+R205+T205),0)-1</f>
        <v>229455</v>
      </c>
      <c r="V205" s="250">
        <v>248855</v>
      </c>
      <c r="W205" s="250">
        <v>229455</v>
      </c>
      <c r="X205" s="250">
        <v>201003</v>
      </c>
      <c r="Y205" s="293">
        <v>73400</v>
      </c>
      <c r="Z205" s="294">
        <v>-1</v>
      </c>
      <c r="AA205" s="251"/>
      <c r="AB205" s="251"/>
    </row>
    <row r="206" spans="1:28" s="295" customFormat="1" ht="31.5">
      <c r="A206" s="284">
        <v>171</v>
      </c>
      <c r="B206" s="284">
        <v>0</v>
      </c>
      <c r="C206" s="284" t="s">
        <v>1817</v>
      </c>
      <c r="D206" s="284" t="s">
        <v>3280</v>
      </c>
      <c r="E206" s="285" t="s">
        <v>2584</v>
      </c>
      <c r="F206" s="286" t="s">
        <v>1818</v>
      </c>
      <c r="G206" s="284">
        <v>200</v>
      </c>
      <c r="H206" s="284">
        <v>13</v>
      </c>
      <c r="I206" s="284">
        <v>0.95</v>
      </c>
      <c r="J206" s="287">
        <f t="shared" si="51"/>
        <v>80830.75</v>
      </c>
      <c r="K206" s="288">
        <v>3.66</v>
      </c>
      <c r="L206" s="289">
        <f t="shared" si="52"/>
        <v>23954.700000000004</v>
      </c>
      <c r="M206" s="288">
        <v>6</v>
      </c>
      <c r="N206" s="289">
        <f t="shared" si="53"/>
        <v>39270</v>
      </c>
      <c r="O206" s="290"/>
      <c r="P206" s="291"/>
      <c r="Q206" s="288">
        <v>1.05</v>
      </c>
      <c r="R206" s="300"/>
      <c r="S206" s="292" t="s">
        <v>1816</v>
      </c>
      <c r="T206" s="296">
        <f>'Nhan cong'!M92</f>
        <v>135797.3076923077</v>
      </c>
      <c r="U206" s="250">
        <f>ROUND((J206+L206+N206+R206+T206),0)-1</f>
        <v>279852</v>
      </c>
      <c r="V206" s="250">
        <v>299252</v>
      </c>
      <c r="W206" s="250">
        <v>279852</v>
      </c>
      <c r="X206" s="250">
        <v>251400</v>
      </c>
      <c r="Y206" s="293">
        <v>130900</v>
      </c>
      <c r="Z206" s="294">
        <v>-1</v>
      </c>
      <c r="AA206" s="251"/>
      <c r="AB206" s="251"/>
    </row>
    <row r="207" spans="1:28" s="295" customFormat="1" ht="31.5">
      <c r="A207" s="284">
        <v>172</v>
      </c>
      <c r="B207" s="284">
        <v>0</v>
      </c>
      <c r="C207" s="284" t="s">
        <v>1819</v>
      </c>
      <c r="D207" s="284" t="s">
        <v>3281</v>
      </c>
      <c r="E207" s="285" t="s">
        <v>27</v>
      </c>
      <c r="F207" s="286" t="s">
        <v>375</v>
      </c>
      <c r="G207" s="284">
        <v>200</v>
      </c>
      <c r="H207" s="284">
        <v>13</v>
      </c>
      <c r="I207" s="284">
        <v>0.95</v>
      </c>
      <c r="J207" s="287">
        <f t="shared" si="51"/>
        <v>86635.25</v>
      </c>
      <c r="K207" s="288">
        <v>3.66</v>
      </c>
      <c r="L207" s="289">
        <f t="shared" si="52"/>
        <v>25674.9</v>
      </c>
      <c r="M207" s="288">
        <v>6</v>
      </c>
      <c r="N207" s="289">
        <f t="shared" si="53"/>
        <v>42090</v>
      </c>
      <c r="O207" s="290"/>
      <c r="P207" s="291"/>
      <c r="Q207" s="288">
        <v>1.05</v>
      </c>
      <c r="R207" s="300"/>
      <c r="S207" s="292" t="s">
        <v>1816</v>
      </c>
      <c r="T207" s="296">
        <f>'Nhan cong'!M92</f>
        <v>135797.3076923077</v>
      </c>
      <c r="U207" s="250">
        <f t="shared" si="54"/>
        <v>290197</v>
      </c>
      <c r="V207" s="250">
        <v>309597</v>
      </c>
      <c r="W207" s="250">
        <v>290197</v>
      </c>
      <c r="X207" s="250">
        <v>261745</v>
      </c>
      <c r="Y207" s="293">
        <v>140300</v>
      </c>
      <c r="Z207" s="294"/>
      <c r="AA207" s="251"/>
      <c r="AB207" s="251"/>
    </row>
    <row r="208" spans="1:28" s="295" customFormat="1" ht="31.5">
      <c r="A208" s="284">
        <v>173</v>
      </c>
      <c r="B208" s="284">
        <v>0</v>
      </c>
      <c r="C208" s="284" t="s">
        <v>1820</v>
      </c>
      <c r="D208" s="284" t="s">
        <v>3282</v>
      </c>
      <c r="E208" s="285" t="s">
        <v>28</v>
      </c>
      <c r="F208" s="286" t="s">
        <v>1821</v>
      </c>
      <c r="G208" s="284">
        <v>200</v>
      </c>
      <c r="H208" s="284">
        <v>13</v>
      </c>
      <c r="I208" s="284">
        <v>0.95</v>
      </c>
      <c r="J208" s="287">
        <f t="shared" si="51"/>
        <v>100529</v>
      </c>
      <c r="K208" s="288">
        <v>3.66</v>
      </c>
      <c r="L208" s="289">
        <f t="shared" si="52"/>
        <v>29792.4</v>
      </c>
      <c r="M208" s="288">
        <v>6</v>
      </c>
      <c r="N208" s="289">
        <f t="shared" si="53"/>
        <v>48840</v>
      </c>
      <c r="O208" s="290"/>
      <c r="P208" s="291"/>
      <c r="Q208" s="288">
        <v>1.05</v>
      </c>
      <c r="R208" s="300"/>
      <c r="S208" s="292" t="s">
        <v>1822</v>
      </c>
      <c r="T208" s="296">
        <f>'Nhan cong'!M97</f>
        <v>143430</v>
      </c>
      <c r="U208" s="250">
        <f t="shared" si="54"/>
        <v>322591</v>
      </c>
      <c r="V208" s="250">
        <v>343081</v>
      </c>
      <c r="W208" s="250">
        <v>322591</v>
      </c>
      <c r="X208" s="250">
        <v>292539</v>
      </c>
      <c r="Y208" s="293">
        <v>162800</v>
      </c>
      <c r="Z208" s="294"/>
      <c r="AA208" s="251"/>
      <c r="AB208" s="251"/>
    </row>
    <row r="209" spans="1:28" s="295" customFormat="1" ht="31.5">
      <c r="A209" s="284">
        <v>174</v>
      </c>
      <c r="B209" s="284">
        <v>0</v>
      </c>
      <c r="C209" s="284" t="s">
        <v>1823</v>
      </c>
      <c r="D209" s="284" t="s">
        <v>3283</v>
      </c>
      <c r="E209" s="285" t="s">
        <v>2585</v>
      </c>
      <c r="F209" s="286" t="s">
        <v>1824</v>
      </c>
      <c r="G209" s="284">
        <v>200</v>
      </c>
      <c r="H209" s="284">
        <v>13</v>
      </c>
      <c r="I209" s="284">
        <v>0.95</v>
      </c>
      <c r="J209" s="287">
        <f t="shared" si="51"/>
        <v>160025.125</v>
      </c>
      <c r="K209" s="288">
        <v>3.14</v>
      </c>
      <c r="L209" s="289">
        <f t="shared" si="52"/>
        <v>40686.55</v>
      </c>
      <c r="M209" s="288">
        <v>6</v>
      </c>
      <c r="N209" s="289">
        <f t="shared" si="53"/>
        <v>77745</v>
      </c>
      <c r="O209" s="290"/>
      <c r="P209" s="291"/>
      <c r="Q209" s="288">
        <v>1.05</v>
      </c>
      <c r="R209" s="300"/>
      <c r="S209" s="292" t="s">
        <v>1825</v>
      </c>
      <c r="T209" s="296">
        <f>'Nhan cong'!M107</f>
        <v>170907.6923076923</v>
      </c>
      <c r="U209" s="250">
        <f>ROUND((J209+L209+N209+R209+T209),0)+1</f>
        <v>449365</v>
      </c>
      <c r="V209" s="250">
        <v>473780</v>
      </c>
      <c r="W209" s="250">
        <v>449365</v>
      </c>
      <c r="X209" s="250">
        <v>413555</v>
      </c>
      <c r="Y209" s="293">
        <v>259150</v>
      </c>
      <c r="Z209" s="294">
        <v>1</v>
      </c>
      <c r="AA209" s="251"/>
      <c r="AB209" s="251"/>
    </row>
    <row r="210" spans="1:28" s="295" customFormat="1" ht="31.5">
      <c r="A210" s="284">
        <v>175</v>
      </c>
      <c r="B210" s="284">
        <v>0</v>
      </c>
      <c r="C210" s="284" t="s">
        <v>1826</v>
      </c>
      <c r="D210" s="284" t="s">
        <v>3284</v>
      </c>
      <c r="E210" s="285" t="s">
        <v>29</v>
      </c>
      <c r="F210" s="286" t="s">
        <v>1827</v>
      </c>
      <c r="G210" s="284">
        <v>200</v>
      </c>
      <c r="H210" s="284">
        <v>13</v>
      </c>
      <c r="I210" s="284">
        <v>0.95</v>
      </c>
      <c r="J210" s="287">
        <f t="shared" si="51"/>
        <v>289453.125</v>
      </c>
      <c r="K210" s="288">
        <v>3.14</v>
      </c>
      <c r="L210" s="289">
        <f t="shared" si="52"/>
        <v>73593.75000000001</v>
      </c>
      <c r="M210" s="288">
        <v>6</v>
      </c>
      <c r="N210" s="289">
        <f t="shared" si="53"/>
        <v>140625</v>
      </c>
      <c r="O210" s="290"/>
      <c r="P210" s="291"/>
      <c r="Q210" s="288">
        <v>1.05</v>
      </c>
      <c r="R210" s="300"/>
      <c r="S210" s="292" t="s">
        <v>1825</v>
      </c>
      <c r="T210" s="296">
        <f>'Nhan cong'!M107</f>
        <v>170907.6923076923</v>
      </c>
      <c r="U210" s="250">
        <f t="shared" si="54"/>
        <v>674580</v>
      </c>
      <c r="V210" s="250">
        <v>698995</v>
      </c>
      <c r="W210" s="250">
        <v>674580</v>
      </c>
      <c r="X210" s="250">
        <v>638770</v>
      </c>
      <c r="Y210" s="293">
        <v>468750</v>
      </c>
      <c r="Z210" s="294"/>
      <c r="AA210" s="251"/>
      <c r="AB210" s="251"/>
    </row>
    <row r="211" spans="1:28" s="295" customFormat="1" ht="31.5">
      <c r="A211" s="284">
        <v>176</v>
      </c>
      <c r="B211" s="284">
        <v>0</v>
      </c>
      <c r="C211" s="284" t="s">
        <v>1828</v>
      </c>
      <c r="D211" s="284" t="s">
        <v>3285</v>
      </c>
      <c r="E211" s="285" t="s">
        <v>30</v>
      </c>
      <c r="F211" s="286" t="s">
        <v>821</v>
      </c>
      <c r="G211" s="284">
        <v>200</v>
      </c>
      <c r="H211" s="284">
        <v>13</v>
      </c>
      <c r="I211" s="284">
        <v>0.95</v>
      </c>
      <c r="J211" s="287">
        <f t="shared" si="51"/>
        <v>324218.375</v>
      </c>
      <c r="K211" s="288">
        <v>3.14</v>
      </c>
      <c r="L211" s="289">
        <f t="shared" si="52"/>
        <v>82432.85000000002</v>
      </c>
      <c r="M211" s="288">
        <v>6</v>
      </c>
      <c r="N211" s="289">
        <f t="shared" si="53"/>
        <v>157515</v>
      </c>
      <c r="O211" s="290"/>
      <c r="P211" s="291"/>
      <c r="Q211" s="288">
        <v>1.05</v>
      </c>
      <c r="R211" s="300"/>
      <c r="S211" s="292" t="s">
        <v>1825</v>
      </c>
      <c r="T211" s="296">
        <f>'Nhan cong'!M107</f>
        <v>170907.6923076923</v>
      </c>
      <c r="U211" s="250">
        <f>ROUND((J211+L211+N211+R211+T211),0)</f>
        <v>735074</v>
      </c>
      <c r="V211" s="250">
        <v>759489</v>
      </c>
      <c r="W211" s="250">
        <v>735074</v>
      </c>
      <c r="X211" s="250">
        <v>699264</v>
      </c>
      <c r="Y211" s="293">
        <v>525050</v>
      </c>
      <c r="Z211" s="294"/>
      <c r="AA211" s="251"/>
      <c r="AB211" s="251"/>
    </row>
    <row r="212" spans="1:28" s="295" customFormat="1" ht="15.75">
      <c r="A212" s="297"/>
      <c r="B212" s="284"/>
      <c r="C212" s="298"/>
      <c r="D212" s="284"/>
      <c r="E212" s="272"/>
      <c r="F212" s="151" t="s">
        <v>822</v>
      </c>
      <c r="G212" s="284"/>
      <c r="H212" s="284"/>
      <c r="I212" s="284"/>
      <c r="J212" s="299"/>
      <c r="K212" s="288"/>
      <c r="L212" s="289"/>
      <c r="M212" s="288"/>
      <c r="N212" s="300"/>
      <c r="O212" s="290"/>
      <c r="P212" s="291"/>
      <c r="Q212" s="288"/>
      <c r="R212" s="300"/>
      <c r="S212" s="292"/>
      <c r="T212" s="296"/>
      <c r="U212" s="250"/>
      <c r="V212" s="250"/>
      <c r="W212" s="250"/>
      <c r="X212" s="250"/>
      <c r="Y212" s="293"/>
      <c r="Z212" s="385"/>
      <c r="AA212" s="251"/>
      <c r="AB212" s="251"/>
    </row>
    <row r="213" spans="1:28" s="295" customFormat="1" ht="15.75">
      <c r="A213" s="284">
        <v>177</v>
      </c>
      <c r="B213" s="284">
        <v>0</v>
      </c>
      <c r="C213" s="284" t="s">
        <v>823</v>
      </c>
      <c r="D213" s="284" t="s">
        <v>3286</v>
      </c>
      <c r="E213" s="285" t="s">
        <v>2586</v>
      </c>
      <c r="F213" s="286" t="s">
        <v>237</v>
      </c>
      <c r="G213" s="284">
        <v>200</v>
      </c>
      <c r="H213" s="284">
        <v>18</v>
      </c>
      <c r="I213" s="284">
        <v>0.95</v>
      </c>
      <c r="J213" s="287">
        <f>Y213*H213%*I213/G213*1000</f>
        <v>170572.5</v>
      </c>
      <c r="K213" s="288">
        <v>5.04</v>
      </c>
      <c r="L213" s="289">
        <f>(Y213*K213%)/G213*1000</f>
        <v>50273.99999999999</v>
      </c>
      <c r="M213" s="288">
        <v>5</v>
      </c>
      <c r="N213" s="289">
        <f>(Y213*M213%)/G213*1000</f>
        <v>49875</v>
      </c>
      <c r="O213" s="290">
        <v>21.6</v>
      </c>
      <c r="P213" s="291" t="s">
        <v>1590</v>
      </c>
      <c r="Q213" s="288">
        <v>1.05</v>
      </c>
      <c r="R213" s="289">
        <f>O213*diezel*Q213</f>
        <v>435043.67760000005</v>
      </c>
      <c r="S213" s="292" t="s">
        <v>1591</v>
      </c>
      <c r="T213" s="289">
        <f>'Nhan cong'!$M$42</f>
        <v>145974.23076923078</v>
      </c>
      <c r="U213" s="250">
        <f>ROUND((J213+L213+N213+R213+T213),0)</f>
        <v>851739</v>
      </c>
      <c r="V213" s="250">
        <v>872593</v>
      </c>
      <c r="W213" s="250">
        <v>851739</v>
      </c>
      <c r="X213" s="250">
        <v>821154</v>
      </c>
      <c r="Y213" s="293">
        <v>199500</v>
      </c>
      <c r="Z213" s="294"/>
      <c r="AA213" s="251"/>
      <c r="AB213" s="251"/>
    </row>
    <row r="214" spans="1:28" s="295" customFormat="1" ht="15.75">
      <c r="A214" s="284">
        <v>178</v>
      </c>
      <c r="B214" s="284">
        <v>0</v>
      </c>
      <c r="C214" s="284" t="s">
        <v>824</v>
      </c>
      <c r="D214" s="284" t="s">
        <v>3287</v>
      </c>
      <c r="E214" s="285" t="s">
        <v>2587</v>
      </c>
      <c r="F214" s="286" t="s">
        <v>239</v>
      </c>
      <c r="G214" s="284">
        <v>200</v>
      </c>
      <c r="H214" s="284">
        <v>18</v>
      </c>
      <c r="I214" s="284">
        <v>0.95</v>
      </c>
      <c r="J214" s="287">
        <f>Y214*H214%*I214/G214*1000</f>
        <v>200754</v>
      </c>
      <c r="K214" s="288">
        <v>5.04</v>
      </c>
      <c r="L214" s="289">
        <f>(Y214*K214%)/G214*1000</f>
        <v>59169.600000000006</v>
      </c>
      <c r="M214" s="288">
        <v>5</v>
      </c>
      <c r="N214" s="289">
        <f>(Y214*M214%)/G214*1000</f>
        <v>58700</v>
      </c>
      <c r="O214" s="290">
        <v>25.92</v>
      </c>
      <c r="P214" s="291" t="s">
        <v>1590</v>
      </c>
      <c r="Q214" s="288">
        <v>1.05</v>
      </c>
      <c r="R214" s="289">
        <f>O214*diezel*Q214</f>
        <v>522052.4131200001</v>
      </c>
      <c r="S214" s="292" t="s">
        <v>1591</v>
      </c>
      <c r="T214" s="289">
        <f>'Nhan cong'!$M$42</f>
        <v>145974.23076923078</v>
      </c>
      <c r="U214" s="250">
        <f>ROUND((J214+L214+N214+R214+T214),0)</f>
        <v>986650</v>
      </c>
      <c r="V214" s="250">
        <v>1007504</v>
      </c>
      <c r="W214" s="250">
        <v>986650</v>
      </c>
      <c r="X214" s="250">
        <v>956065</v>
      </c>
      <c r="Y214" s="293">
        <v>234800</v>
      </c>
      <c r="Z214" s="294"/>
      <c r="AA214" s="251"/>
      <c r="AB214" s="251"/>
    </row>
    <row r="215" spans="1:28" s="295" customFormat="1" ht="15.75">
      <c r="A215" s="284">
        <v>179</v>
      </c>
      <c r="B215" s="284">
        <v>0</v>
      </c>
      <c r="C215" s="284" t="s">
        <v>825</v>
      </c>
      <c r="D215" s="284" t="s">
        <v>3288</v>
      </c>
      <c r="E215" s="285" t="s">
        <v>2588</v>
      </c>
      <c r="F215" s="286" t="s">
        <v>241</v>
      </c>
      <c r="G215" s="284">
        <v>200</v>
      </c>
      <c r="H215" s="284">
        <v>18</v>
      </c>
      <c r="I215" s="284">
        <v>0.95</v>
      </c>
      <c r="J215" s="287">
        <f>Y215*H215%*I215/G215*1000</f>
        <v>232218</v>
      </c>
      <c r="K215" s="288">
        <v>5.04</v>
      </c>
      <c r="L215" s="289">
        <f>(Y215*K215%)/G215*1000</f>
        <v>68443.2</v>
      </c>
      <c r="M215" s="288">
        <v>5</v>
      </c>
      <c r="N215" s="289">
        <f>(Y215*M215%)/G215*1000</f>
        <v>67900</v>
      </c>
      <c r="O215" s="290">
        <v>32.4</v>
      </c>
      <c r="P215" s="291" t="s">
        <v>1590</v>
      </c>
      <c r="Q215" s="288">
        <v>1.05</v>
      </c>
      <c r="R215" s="289">
        <f>O215*diezel*Q215</f>
        <v>652565.5164</v>
      </c>
      <c r="S215" s="292" t="s">
        <v>1591</v>
      </c>
      <c r="T215" s="289">
        <f>'Nhan cong'!$M$42</f>
        <v>145974.23076923078</v>
      </c>
      <c r="U215" s="250">
        <f>ROUND((J215+L215+N215+R215+T215),0)</f>
        <v>1167101</v>
      </c>
      <c r="V215" s="250">
        <v>1187955</v>
      </c>
      <c r="W215" s="250">
        <v>1167101</v>
      </c>
      <c r="X215" s="250">
        <v>1136516</v>
      </c>
      <c r="Y215" s="293">
        <v>271600</v>
      </c>
      <c r="Z215" s="294"/>
      <c r="AA215" s="251"/>
      <c r="AB215" s="251"/>
    </row>
    <row r="216" spans="1:28" s="295" customFormat="1" ht="15.75">
      <c r="A216" s="284">
        <v>180</v>
      </c>
      <c r="B216" s="284">
        <v>0</v>
      </c>
      <c r="C216" s="284" t="s">
        <v>826</v>
      </c>
      <c r="D216" s="284" t="s">
        <v>3289</v>
      </c>
      <c r="E216" s="285" t="s">
        <v>82</v>
      </c>
      <c r="F216" s="286" t="s">
        <v>827</v>
      </c>
      <c r="G216" s="284">
        <v>200</v>
      </c>
      <c r="H216" s="284">
        <v>17</v>
      </c>
      <c r="I216" s="284">
        <v>0.95</v>
      </c>
      <c r="J216" s="287">
        <f>Y216*H216%*I216/G216*1000</f>
        <v>273258.00000000006</v>
      </c>
      <c r="K216" s="288">
        <v>4.76</v>
      </c>
      <c r="L216" s="289">
        <f>(Y216*K216%)/G216*1000</f>
        <v>80539.2</v>
      </c>
      <c r="M216" s="288">
        <v>5</v>
      </c>
      <c r="N216" s="289">
        <f>(Y216*M216%)/G216*1000</f>
        <v>84600</v>
      </c>
      <c r="O216" s="290">
        <v>41.472</v>
      </c>
      <c r="P216" s="291" t="s">
        <v>1590</v>
      </c>
      <c r="Q216" s="288">
        <v>1.05</v>
      </c>
      <c r="R216" s="289">
        <f>O216*diezel*Q216</f>
        <v>835283.860992</v>
      </c>
      <c r="S216" s="292" t="s">
        <v>1591</v>
      </c>
      <c r="T216" s="289">
        <f>'Nhan cong'!$M$42</f>
        <v>145974.23076923078</v>
      </c>
      <c r="U216" s="250">
        <f>ROUND((J216+L216+N216+R216+T216),0)-41</f>
        <v>1419614</v>
      </c>
      <c r="V216" s="250">
        <v>1440509</v>
      </c>
      <c r="W216" s="250">
        <v>1419614</v>
      </c>
      <c r="X216" s="250">
        <v>1389030</v>
      </c>
      <c r="Y216" s="293">
        <v>338400</v>
      </c>
      <c r="Z216" s="294">
        <v>-41</v>
      </c>
      <c r="AA216" s="251"/>
      <c r="AB216" s="251"/>
    </row>
    <row r="217" spans="1:28" s="295" customFormat="1" ht="15.75">
      <c r="A217" s="284">
        <v>181</v>
      </c>
      <c r="B217" s="284">
        <v>0</v>
      </c>
      <c r="C217" s="284" t="s">
        <v>828</v>
      </c>
      <c r="D217" s="284" t="s">
        <v>3290</v>
      </c>
      <c r="E217" s="285" t="s">
        <v>2589</v>
      </c>
      <c r="F217" s="286" t="s">
        <v>247</v>
      </c>
      <c r="G217" s="284">
        <v>200</v>
      </c>
      <c r="H217" s="284">
        <v>17</v>
      </c>
      <c r="I217" s="284">
        <v>0.95</v>
      </c>
      <c r="J217" s="287">
        <f>Y217*H217%*I217/G217*1000</f>
        <v>292234.25000000006</v>
      </c>
      <c r="K217" s="288">
        <v>4.76</v>
      </c>
      <c r="L217" s="289">
        <f>(Y217*K217%)/G217*1000</f>
        <v>86132.2</v>
      </c>
      <c r="M217" s="288">
        <v>5</v>
      </c>
      <c r="N217" s="289">
        <f>(Y217*M217%)/G217*1000</f>
        <v>90475</v>
      </c>
      <c r="O217" s="290">
        <v>49.92</v>
      </c>
      <c r="P217" s="291" t="s">
        <v>1590</v>
      </c>
      <c r="Q217" s="288">
        <v>1.05</v>
      </c>
      <c r="R217" s="289">
        <f>O217*diezel*Q217</f>
        <v>1005434.2771200001</v>
      </c>
      <c r="S217" s="292" t="s">
        <v>1591</v>
      </c>
      <c r="T217" s="289">
        <f>'Nhan cong'!$M$42</f>
        <v>145974.23076923078</v>
      </c>
      <c r="U217" s="250">
        <f>ROUND((J217+L217+N217+R217+T217),0)-1</f>
        <v>1620249</v>
      </c>
      <c r="V217" s="250">
        <v>1641104</v>
      </c>
      <c r="W217" s="250">
        <v>1620249</v>
      </c>
      <c r="X217" s="250">
        <v>1589665</v>
      </c>
      <c r="Y217" s="293">
        <v>361900</v>
      </c>
      <c r="Z217" s="294">
        <v>-1</v>
      </c>
      <c r="AA217" s="251"/>
      <c r="AB217" s="251"/>
    </row>
    <row r="218" spans="1:28" s="295" customFormat="1" ht="15.75">
      <c r="A218" s="297"/>
      <c r="B218" s="284"/>
      <c r="C218" s="298"/>
      <c r="D218" s="284"/>
      <c r="E218" s="272"/>
      <c r="F218" s="151" t="s">
        <v>829</v>
      </c>
      <c r="G218" s="284"/>
      <c r="H218" s="284"/>
      <c r="I218" s="284"/>
      <c r="J218" s="299"/>
      <c r="K218" s="288"/>
      <c r="L218" s="289"/>
      <c r="M218" s="288"/>
      <c r="N218" s="300"/>
      <c r="O218" s="290"/>
      <c r="P218" s="291"/>
      <c r="Q218" s="288"/>
      <c r="R218" s="300"/>
      <c r="S218" s="292"/>
      <c r="T218" s="289"/>
      <c r="U218" s="250"/>
      <c r="V218" s="250"/>
      <c r="W218" s="250"/>
      <c r="X218" s="250"/>
      <c r="Y218" s="293"/>
      <c r="Z218" s="385"/>
      <c r="AA218" s="251"/>
      <c r="AB218" s="251"/>
    </row>
    <row r="219" spans="1:28" s="295" customFormat="1" ht="15.75">
      <c r="A219" s="284">
        <v>182</v>
      </c>
      <c r="B219" s="284">
        <v>0</v>
      </c>
      <c r="C219" s="284" t="s">
        <v>830</v>
      </c>
      <c r="D219" s="284" t="s">
        <v>3291</v>
      </c>
      <c r="E219" s="285" t="s">
        <v>2590</v>
      </c>
      <c r="F219" s="286" t="s">
        <v>831</v>
      </c>
      <c r="G219" s="284">
        <v>200</v>
      </c>
      <c r="H219" s="284">
        <v>18</v>
      </c>
      <c r="I219" s="284">
        <v>0.95</v>
      </c>
      <c r="J219" s="287">
        <f aca="true" t="shared" si="55" ref="J219:J225">Y219*H219%*I219/G219*1000</f>
        <v>128591.99999999999</v>
      </c>
      <c r="K219" s="288">
        <v>4.32</v>
      </c>
      <c r="L219" s="289">
        <f aca="true" t="shared" si="56" ref="L219:L225">(Y219*K219%)/G219*1000</f>
        <v>32486.4</v>
      </c>
      <c r="M219" s="288">
        <v>5</v>
      </c>
      <c r="N219" s="289">
        <f aca="true" t="shared" si="57" ref="N219:N225">(Y219*M219%)/G219*1000</f>
        <v>37600</v>
      </c>
      <c r="O219" s="290">
        <v>11.76</v>
      </c>
      <c r="P219" s="291" t="s">
        <v>1590</v>
      </c>
      <c r="Q219" s="288">
        <v>1.05</v>
      </c>
      <c r="R219" s="289">
        <f aca="true" t="shared" si="58" ref="R219:R225">O219*diezel*Q219</f>
        <v>236857.11336</v>
      </c>
      <c r="S219" s="292" t="s">
        <v>1591</v>
      </c>
      <c r="T219" s="289">
        <f>'Nhan cong'!$M$42</f>
        <v>145974.23076923078</v>
      </c>
      <c r="U219" s="250">
        <f>ROUND((J219+L219+N219+R219+T219),0)</f>
        <v>581510</v>
      </c>
      <c r="V219" s="250">
        <v>602364</v>
      </c>
      <c r="W219" s="250">
        <v>581510</v>
      </c>
      <c r="X219" s="250">
        <v>550925</v>
      </c>
      <c r="Y219" s="293">
        <v>150400</v>
      </c>
      <c r="Z219" s="294"/>
      <c r="AA219" s="251"/>
      <c r="AB219" s="251"/>
    </row>
    <row r="220" spans="1:28" s="295" customFormat="1" ht="15.75">
      <c r="A220" s="284">
        <v>183</v>
      </c>
      <c r="B220" s="284">
        <v>0</v>
      </c>
      <c r="C220" s="284" t="s">
        <v>832</v>
      </c>
      <c r="D220" s="284" t="s">
        <v>3292</v>
      </c>
      <c r="E220" s="285" t="s">
        <v>2591</v>
      </c>
      <c r="F220" s="286" t="s">
        <v>833</v>
      </c>
      <c r="G220" s="284">
        <v>200</v>
      </c>
      <c r="H220" s="284">
        <v>18</v>
      </c>
      <c r="I220" s="284">
        <v>0.95</v>
      </c>
      <c r="J220" s="287">
        <f t="shared" si="55"/>
        <v>139707</v>
      </c>
      <c r="K220" s="288">
        <v>4.32</v>
      </c>
      <c r="L220" s="289">
        <f t="shared" si="56"/>
        <v>35294.4</v>
      </c>
      <c r="M220" s="288">
        <v>5</v>
      </c>
      <c r="N220" s="289">
        <f t="shared" si="57"/>
        <v>40850</v>
      </c>
      <c r="O220" s="290">
        <v>16.8</v>
      </c>
      <c r="P220" s="291" t="s">
        <v>1590</v>
      </c>
      <c r="Q220" s="288">
        <v>1.05</v>
      </c>
      <c r="R220" s="289">
        <f t="shared" si="58"/>
        <v>338367.30480000004</v>
      </c>
      <c r="S220" s="292" t="s">
        <v>1591</v>
      </c>
      <c r="T220" s="289">
        <f>'Nhan cong'!$M$42</f>
        <v>145974.23076923078</v>
      </c>
      <c r="U220" s="250">
        <f>ROUND((J220+L220+N220+R220+T220),0)</f>
        <v>700193</v>
      </c>
      <c r="V220" s="250">
        <v>721047</v>
      </c>
      <c r="W220" s="250">
        <v>700193</v>
      </c>
      <c r="X220" s="250">
        <v>669608</v>
      </c>
      <c r="Y220" s="293">
        <v>163400</v>
      </c>
      <c r="Z220" s="294"/>
      <c r="AA220" s="251"/>
      <c r="AB220" s="251"/>
    </row>
    <row r="221" spans="1:28" s="295" customFormat="1" ht="15.75">
      <c r="A221" s="284">
        <v>184</v>
      </c>
      <c r="B221" s="284">
        <v>0</v>
      </c>
      <c r="C221" s="284" t="s">
        <v>834</v>
      </c>
      <c r="D221" s="284" t="s">
        <v>3293</v>
      </c>
      <c r="E221" s="285" t="s">
        <v>2592</v>
      </c>
      <c r="F221" s="286" t="s">
        <v>835</v>
      </c>
      <c r="G221" s="284">
        <v>200</v>
      </c>
      <c r="H221" s="284">
        <v>18</v>
      </c>
      <c r="I221" s="284">
        <v>0.95</v>
      </c>
      <c r="J221" s="287">
        <f t="shared" si="55"/>
        <v>155353.5</v>
      </c>
      <c r="K221" s="288">
        <v>4.32</v>
      </c>
      <c r="L221" s="289">
        <f t="shared" si="56"/>
        <v>39247.2</v>
      </c>
      <c r="M221" s="288">
        <v>5</v>
      </c>
      <c r="N221" s="289">
        <f t="shared" si="57"/>
        <v>45425</v>
      </c>
      <c r="O221" s="290">
        <v>21</v>
      </c>
      <c r="P221" s="291" t="s">
        <v>1590</v>
      </c>
      <c r="Q221" s="288">
        <v>1.05</v>
      </c>
      <c r="R221" s="289">
        <f t="shared" si="58"/>
        <v>422959.131</v>
      </c>
      <c r="S221" s="292" t="s">
        <v>1591</v>
      </c>
      <c r="T221" s="289">
        <f>'Nhan cong'!$M$42</f>
        <v>145974.23076923078</v>
      </c>
      <c r="U221" s="250">
        <f>ROUND((J221+L221+N221+R221+T221),0)</f>
        <v>808959</v>
      </c>
      <c r="V221" s="250">
        <v>829813</v>
      </c>
      <c r="W221" s="250">
        <v>808959</v>
      </c>
      <c r="X221" s="250">
        <v>778374</v>
      </c>
      <c r="Y221" s="293">
        <v>181700</v>
      </c>
      <c r="Z221" s="294"/>
      <c r="AA221" s="251"/>
      <c r="AB221" s="251"/>
    </row>
    <row r="222" spans="1:28" s="295" customFormat="1" ht="15.75">
      <c r="A222" s="284">
        <v>185</v>
      </c>
      <c r="B222" s="284">
        <v>0</v>
      </c>
      <c r="C222" s="284" t="s">
        <v>836</v>
      </c>
      <c r="D222" s="284" t="s">
        <v>3294</v>
      </c>
      <c r="E222" s="285" t="s">
        <v>2593</v>
      </c>
      <c r="F222" s="286" t="s">
        <v>837</v>
      </c>
      <c r="G222" s="284">
        <v>200</v>
      </c>
      <c r="H222" s="284">
        <v>18</v>
      </c>
      <c r="I222" s="284">
        <v>0.95</v>
      </c>
      <c r="J222" s="287">
        <f t="shared" si="55"/>
        <v>173650.5</v>
      </c>
      <c r="K222" s="288">
        <v>4.32</v>
      </c>
      <c r="L222" s="289">
        <f t="shared" si="56"/>
        <v>43869.6</v>
      </c>
      <c r="M222" s="288">
        <v>5</v>
      </c>
      <c r="N222" s="289">
        <f t="shared" si="57"/>
        <v>50775</v>
      </c>
      <c r="O222" s="290">
        <v>25.2</v>
      </c>
      <c r="P222" s="291" t="s">
        <v>1590</v>
      </c>
      <c r="Q222" s="288">
        <v>1.05</v>
      </c>
      <c r="R222" s="289">
        <f t="shared" si="58"/>
        <v>507550.9572</v>
      </c>
      <c r="S222" s="292" t="s">
        <v>1591</v>
      </c>
      <c r="T222" s="289">
        <f>'Nhan cong'!$M$42</f>
        <v>145974.23076923078</v>
      </c>
      <c r="U222" s="250">
        <f>ROUND((J222+L222+N222+R222+T222),0)</f>
        <v>921820</v>
      </c>
      <c r="V222" s="250">
        <v>942674</v>
      </c>
      <c r="W222" s="250">
        <v>921820</v>
      </c>
      <c r="X222" s="250">
        <v>891235</v>
      </c>
      <c r="Y222" s="293">
        <v>203100</v>
      </c>
      <c r="Z222" s="294"/>
      <c r="AA222" s="251"/>
      <c r="AB222" s="251"/>
    </row>
    <row r="223" spans="1:28" s="295" customFormat="1" ht="15.75">
      <c r="A223" s="284">
        <v>186</v>
      </c>
      <c r="B223" s="284">
        <v>0</v>
      </c>
      <c r="C223" s="284" t="s">
        <v>838</v>
      </c>
      <c r="D223" s="284" t="s">
        <v>3295</v>
      </c>
      <c r="E223" s="285" t="s">
        <v>2594</v>
      </c>
      <c r="F223" s="286" t="s">
        <v>839</v>
      </c>
      <c r="G223" s="284">
        <v>200</v>
      </c>
      <c r="H223" s="284">
        <v>18</v>
      </c>
      <c r="I223" s="284">
        <v>0.95</v>
      </c>
      <c r="J223" s="287">
        <f t="shared" si="55"/>
        <v>223838.99999999997</v>
      </c>
      <c r="K223" s="288">
        <v>4.32</v>
      </c>
      <c r="L223" s="289">
        <f t="shared" si="56"/>
        <v>56548.8</v>
      </c>
      <c r="M223" s="288">
        <v>5</v>
      </c>
      <c r="N223" s="289">
        <f t="shared" si="57"/>
        <v>65450</v>
      </c>
      <c r="O223" s="290">
        <v>33.6</v>
      </c>
      <c r="P223" s="291" t="s">
        <v>1590</v>
      </c>
      <c r="Q223" s="288">
        <v>1.05</v>
      </c>
      <c r="R223" s="289">
        <f t="shared" si="58"/>
        <v>676734.6096000001</v>
      </c>
      <c r="S223" s="292" t="s">
        <v>1591</v>
      </c>
      <c r="T223" s="289">
        <f>'Nhan cong'!$M$42</f>
        <v>145974.23076923078</v>
      </c>
      <c r="U223" s="250">
        <f>ROUND((J223+L223+N223+R223+T223),0)-1</f>
        <v>1168546</v>
      </c>
      <c r="V223" s="250">
        <v>1189400</v>
      </c>
      <c r="W223" s="250">
        <v>1168546</v>
      </c>
      <c r="X223" s="250">
        <v>1137961</v>
      </c>
      <c r="Y223" s="293">
        <v>261800</v>
      </c>
      <c r="Z223" s="294">
        <v>-1</v>
      </c>
      <c r="AA223" s="251"/>
      <c r="AB223" s="251"/>
    </row>
    <row r="224" spans="1:28" s="295" customFormat="1" ht="15.75">
      <c r="A224" s="284">
        <v>187</v>
      </c>
      <c r="B224" s="284">
        <v>0</v>
      </c>
      <c r="C224" s="284" t="s">
        <v>840</v>
      </c>
      <c r="D224" s="284" t="s">
        <v>3296</v>
      </c>
      <c r="E224" s="285" t="s">
        <v>2595</v>
      </c>
      <c r="F224" s="286" t="s">
        <v>841</v>
      </c>
      <c r="G224" s="284">
        <v>200</v>
      </c>
      <c r="H224" s="284">
        <v>15</v>
      </c>
      <c r="I224" s="284">
        <v>0.95</v>
      </c>
      <c r="J224" s="287">
        <f t="shared" si="55"/>
        <v>263411.25</v>
      </c>
      <c r="K224" s="288">
        <v>3.6</v>
      </c>
      <c r="L224" s="289">
        <f t="shared" si="56"/>
        <v>66546</v>
      </c>
      <c r="M224" s="288">
        <v>5</v>
      </c>
      <c r="N224" s="289">
        <f t="shared" si="57"/>
        <v>92425</v>
      </c>
      <c r="O224" s="290">
        <v>55.44</v>
      </c>
      <c r="P224" s="291" t="s">
        <v>1590</v>
      </c>
      <c r="Q224" s="288">
        <v>1.05</v>
      </c>
      <c r="R224" s="289">
        <f t="shared" si="58"/>
        <v>1116612.1058399999</v>
      </c>
      <c r="S224" s="292" t="s">
        <v>1591</v>
      </c>
      <c r="T224" s="289">
        <f>'Nhan cong'!$M$42</f>
        <v>145974.23076923078</v>
      </c>
      <c r="U224" s="250">
        <f>ROUND((J224+L224+N224+R224+T224),0)-1</f>
        <v>1684968</v>
      </c>
      <c r="V224" s="250">
        <v>1705822</v>
      </c>
      <c r="W224" s="250">
        <v>1684968</v>
      </c>
      <c r="X224" s="250">
        <v>1654383</v>
      </c>
      <c r="Y224" s="293">
        <v>369700</v>
      </c>
      <c r="Z224" s="294"/>
      <c r="AA224" s="251"/>
      <c r="AB224" s="251"/>
    </row>
    <row r="225" spans="1:28" s="295" customFormat="1" ht="15.75">
      <c r="A225" s="297">
        <v>188</v>
      </c>
      <c r="B225" s="284">
        <v>0</v>
      </c>
      <c r="C225" s="298" t="s">
        <v>842</v>
      </c>
      <c r="D225" s="284" t="s">
        <v>3297</v>
      </c>
      <c r="E225" s="285" t="s">
        <v>3159</v>
      </c>
      <c r="F225" s="286" t="s">
        <v>843</v>
      </c>
      <c r="G225" s="284">
        <v>200</v>
      </c>
      <c r="H225" s="284">
        <v>15</v>
      </c>
      <c r="I225" s="284">
        <v>0.95</v>
      </c>
      <c r="J225" s="287">
        <f t="shared" si="55"/>
        <v>340218.75</v>
      </c>
      <c r="K225" s="288">
        <v>3.2</v>
      </c>
      <c r="L225" s="289">
        <f t="shared" si="56"/>
        <v>76400</v>
      </c>
      <c r="M225" s="288">
        <v>5</v>
      </c>
      <c r="N225" s="289">
        <f t="shared" si="57"/>
        <v>119375</v>
      </c>
      <c r="O225" s="290">
        <v>67.725</v>
      </c>
      <c r="P225" s="291" t="s">
        <v>1590</v>
      </c>
      <c r="Q225" s="288">
        <v>1.05</v>
      </c>
      <c r="R225" s="289">
        <f t="shared" si="58"/>
        <v>1364043.197475</v>
      </c>
      <c r="S225" s="292" t="s">
        <v>311</v>
      </c>
      <c r="T225" s="296">
        <f>'Nhan cong'!M$46</f>
        <v>170398.84615384616</v>
      </c>
      <c r="U225" s="250">
        <f>ROUND((J225+L225+N225+R225+T225),0)+99</f>
        <v>2070535</v>
      </c>
      <c r="V225" s="250">
        <v>2094779</v>
      </c>
      <c r="W225" s="250">
        <v>2070535</v>
      </c>
      <c r="X225" s="250">
        <v>2034834</v>
      </c>
      <c r="Y225" s="293">
        <v>477500</v>
      </c>
      <c r="Z225" s="294">
        <v>99</v>
      </c>
      <c r="AA225" s="251"/>
      <c r="AB225" s="251"/>
    </row>
    <row r="226" spans="1:28" s="295" customFormat="1" ht="15.75">
      <c r="A226" s="297"/>
      <c r="B226" s="284"/>
      <c r="C226" s="298"/>
      <c r="D226" s="284"/>
      <c r="E226" s="272"/>
      <c r="F226" s="151" t="s">
        <v>844</v>
      </c>
      <c r="G226" s="284"/>
      <c r="H226" s="284"/>
      <c r="I226" s="284"/>
      <c r="J226" s="299"/>
      <c r="K226" s="288"/>
      <c r="L226" s="289"/>
      <c r="M226" s="288"/>
      <c r="N226" s="300"/>
      <c r="O226" s="290"/>
      <c r="P226" s="291"/>
      <c r="Q226" s="288"/>
      <c r="R226" s="300"/>
      <c r="S226" s="292"/>
      <c r="T226" s="296"/>
      <c r="U226" s="250"/>
      <c r="V226" s="250"/>
      <c r="W226" s="250"/>
      <c r="X226" s="250"/>
      <c r="Y226" s="293"/>
      <c r="Z226" s="385"/>
      <c r="AA226" s="251"/>
      <c r="AB226" s="251"/>
    </row>
    <row r="227" spans="1:28" s="295" customFormat="1" ht="31.5">
      <c r="A227" s="284">
        <v>189</v>
      </c>
      <c r="B227" s="284" t="s">
        <v>702</v>
      </c>
      <c r="C227" s="284" t="s">
        <v>845</v>
      </c>
      <c r="D227" s="284" t="s">
        <v>3298</v>
      </c>
      <c r="E227" s="285" t="s">
        <v>2596</v>
      </c>
      <c r="F227" s="286" t="s">
        <v>846</v>
      </c>
      <c r="G227" s="284">
        <v>300</v>
      </c>
      <c r="H227" s="284">
        <v>14</v>
      </c>
      <c r="I227" s="284">
        <v>0.95</v>
      </c>
      <c r="J227" s="287">
        <f>Y227*H227%*I227/G227*1000</f>
        <v>11260.666666666668</v>
      </c>
      <c r="K227" s="288">
        <v>4.3</v>
      </c>
      <c r="L227" s="289">
        <f>(Y227*K227%)/G227*1000</f>
        <v>3640.666666666666</v>
      </c>
      <c r="M227" s="288">
        <v>6</v>
      </c>
      <c r="N227" s="289">
        <f>(Y227*M227%)/G227*1000</f>
        <v>5080</v>
      </c>
      <c r="O227" s="290">
        <v>42.9</v>
      </c>
      <c r="P227" s="291" t="s">
        <v>433</v>
      </c>
      <c r="Q227" s="288">
        <v>1.07</v>
      </c>
      <c r="R227" s="289">
        <f>O227*dien*Q227</f>
        <v>52283.517</v>
      </c>
      <c r="S227" s="292" t="s">
        <v>230</v>
      </c>
      <c r="T227" s="296">
        <f>'Nhan cong'!M$42+'Nhan cong'!M$46</f>
        <v>316373.07692307694</v>
      </c>
      <c r="U227" s="250">
        <f>ROUND((J227+L227+N227+R227+T227),0)</f>
        <v>388638</v>
      </c>
      <c r="V227" s="250">
        <v>433834</v>
      </c>
      <c r="W227" s="250">
        <v>388638</v>
      </c>
      <c r="X227" s="250">
        <v>322350</v>
      </c>
      <c r="Y227" s="293">
        <v>25400</v>
      </c>
      <c r="Z227" s="294"/>
      <c r="AA227" s="251"/>
      <c r="AB227" s="251"/>
    </row>
    <row r="228" spans="1:28" s="295" customFormat="1" ht="31.5">
      <c r="A228" s="284">
        <v>190</v>
      </c>
      <c r="B228" s="284" t="s">
        <v>716</v>
      </c>
      <c r="C228" s="284" t="s">
        <v>847</v>
      </c>
      <c r="D228" s="284" t="s">
        <v>3299</v>
      </c>
      <c r="E228" s="285" t="s">
        <v>2597</v>
      </c>
      <c r="F228" s="286" t="s">
        <v>848</v>
      </c>
      <c r="G228" s="284">
        <v>300</v>
      </c>
      <c r="H228" s="284">
        <v>14</v>
      </c>
      <c r="I228" s="284">
        <v>0.95</v>
      </c>
      <c r="J228" s="287">
        <f>Y228*H228%*I228/G228*1000</f>
        <v>11970</v>
      </c>
      <c r="K228" s="288">
        <v>4.3</v>
      </c>
      <c r="L228" s="289">
        <f>(Y228*K228%)/G228*1000</f>
        <v>3870</v>
      </c>
      <c r="M228" s="288">
        <v>6</v>
      </c>
      <c r="N228" s="289">
        <f>(Y228*M228%)/G228*1000</f>
        <v>5400</v>
      </c>
      <c r="O228" s="290"/>
      <c r="P228" s="291"/>
      <c r="Q228" s="288">
        <v>1.05</v>
      </c>
      <c r="R228" s="300"/>
      <c r="S228" s="292" t="s">
        <v>230</v>
      </c>
      <c r="T228" s="296">
        <f>'Nhan cong'!M$42+'Nhan cong'!M$46</f>
        <v>316373.07692307694</v>
      </c>
      <c r="U228" s="250">
        <f>ROUND((J228+L228+N228+R228+T228),0)</f>
        <v>337613</v>
      </c>
      <c r="V228" s="250">
        <v>382809</v>
      </c>
      <c r="W228" s="250">
        <v>337613</v>
      </c>
      <c r="X228" s="250">
        <v>271325</v>
      </c>
      <c r="Y228" s="293">
        <v>27000</v>
      </c>
      <c r="Z228" s="294"/>
      <c r="AA228" s="251"/>
      <c r="AB228" s="251"/>
    </row>
    <row r="229" spans="1:28" s="295" customFormat="1" ht="31.5">
      <c r="A229" s="284">
        <v>191</v>
      </c>
      <c r="B229" s="284" t="s">
        <v>717</v>
      </c>
      <c r="C229" s="284" t="s">
        <v>849</v>
      </c>
      <c r="D229" s="284" t="s">
        <v>3300</v>
      </c>
      <c r="E229" s="285" t="s">
        <v>850</v>
      </c>
      <c r="F229" s="286" t="s">
        <v>850</v>
      </c>
      <c r="G229" s="284">
        <v>300</v>
      </c>
      <c r="H229" s="284">
        <v>14</v>
      </c>
      <c r="I229" s="284">
        <v>0.95</v>
      </c>
      <c r="J229" s="287">
        <f>Y229*H229%*I229/G229*1000</f>
        <v>488553.33333333343</v>
      </c>
      <c r="K229" s="288">
        <v>4.3</v>
      </c>
      <c r="L229" s="289">
        <f>(Y229*K229%)/G229*1000</f>
        <v>157953.3333333333</v>
      </c>
      <c r="M229" s="288">
        <v>6</v>
      </c>
      <c r="N229" s="289">
        <f>(Y229*M229%)/G229*1000</f>
        <v>220400</v>
      </c>
      <c r="O229" s="290"/>
      <c r="P229" s="291"/>
      <c r="Q229" s="288">
        <v>1.05</v>
      </c>
      <c r="R229" s="300"/>
      <c r="S229" s="292" t="s">
        <v>230</v>
      </c>
      <c r="T229" s="296">
        <f>'Nhan cong'!M$42+'Nhan cong'!M$46</f>
        <v>316373.07692307694</v>
      </c>
      <c r="U229" s="250">
        <f>ROUND((J229+L229+N229+R229+T229),0)</f>
        <v>1183280</v>
      </c>
      <c r="V229" s="250">
        <v>1228476</v>
      </c>
      <c r="W229" s="250">
        <v>1183280</v>
      </c>
      <c r="X229" s="250">
        <v>1116992</v>
      </c>
      <c r="Y229" s="293">
        <v>1102000</v>
      </c>
      <c r="Z229" s="294"/>
      <c r="AA229" s="251"/>
      <c r="AB229" s="251"/>
    </row>
    <row r="230" spans="1:28" s="295" customFormat="1" ht="31.5">
      <c r="A230" s="284">
        <v>192</v>
      </c>
      <c r="B230" s="284">
        <v>0</v>
      </c>
      <c r="C230" s="284" t="s">
        <v>851</v>
      </c>
      <c r="D230" s="284" t="s">
        <v>1019</v>
      </c>
      <c r="E230" s="285" t="s">
        <v>852</v>
      </c>
      <c r="F230" s="286" t="s">
        <v>852</v>
      </c>
      <c r="G230" s="284">
        <v>300</v>
      </c>
      <c r="H230" s="284">
        <v>11</v>
      </c>
      <c r="I230" s="284">
        <v>0.95</v>
      </c>
      <c r="J230" s="287">
        <f>Y230*H230%*I230/G230*1000</f>
        <v>944192.3333333334</v>
      </c>
      <c r="K230" s="288">
        <v>3.8</v>
      </c>
      <c r="L230" s="289">
        <f>(Y230*K230%)/G230*1000</f>
        <v>343342.6666666667</v>
      </c>
      <c r="M230" s="288">
        <v>6</v>
      </c>
      <c r="N230" s="289">
        <f>(Y230*M230%)/G230*1000</f>
        <v>542120</v>
      </c>
      <c r="O230" s="290">
        <v>37.44</v>
      </c>
      <c r="P230" s="291" t="s">
        <v>1590</v>
      </c>
      <c r="Q230" s="288">
        <v>1.05</v>
      </c>
      <c r="R230" s="289">
        <f>O230*diezel*Q230</f>
        <v>754075.7078399999</v>
      </c>
      <c r="S230" s="292" t="s">
        <v>230</v>
      </c>
      <c r="T230" s="296">
        <f>'Nhan cong'!M$42+'Nhan cong'!M$46</f>
        <v>316373.07692307694</v>
      </c>
      <c r="U230" s="250">
        <f>ROUND((J230+L230+N230+R230+T230),0)-1</f>
        <v>2900103</v>
      </c>
      <c r="V230" s="250">
        <v>2945300</v>
      </c>
      <c r="W230" s="250">
        <v>2900103</v>
      </c>
      <c r="X230" s="250">
        <v>2833816</v>
      </c>
      <c r="Y230" s="293">
        <v>2710600</v>
      </c>
      <c r="Z230" s="294"/>
      <c r="AA230" s="251"/>
      <c r="AB230" s="251"/>
    </row>
    <row r="231" spans="1:28" s="295" customFormat="1" ht="31.5">
      <c r="A231" s="284">
        <v>193</v>
      </c>
      <c r="B231" s="284">
        <v>0</v>
      </c>
      <c r="C231" s="284" t="s">
        <v>853</v>
      </c>
      <c r="D231" s="284" t="s">
        <v>3301</v>
      </c>
      <c r="E231" s="285" t="s">
        <v>2598</v>
      </c>
      <c r="F231" s="286" t="s">
        <v>854</v>
      </c>
      <c r="G231" s="284">
        <v>300</v>
      </c>
      <c r="H231" s="284">
        <v>14</v>
      </c>
      <c r="I231" s="284">
        <v>0.95</v>
      </c>
      <c r="J231" s="287">
        <f>Y231*H231%*I231/G231*1000</f>
        <v>95848.66666666667</v>
      </c>
      <c r="K231" s="288">
        <v>4.3</v>
      </c>
      <c r="L231" s="289">
        <f>(Y231*K231%)/G231*1000</f>
        <v>30988.666666666664</v>
      </c>
      <c r="M231" s="288">
        <v>6</v>
      </c>
      <c r="N231" s="289">
        <f>(Y231*M231%)/G231*1000</f>
        <v>43240</v>
      </c>
      <c r="O231" s="290">
        <v>27</v>
      </c>
      <c r="P231" s="291" t="s">
        <v>433</v>
      </c>
      <c r="Q231" s="288">
        <v>1.07</v>
      </c>
      <c r="R231" s="289">
        <f>O231*dien*Q231</f>
        <v>32905.71</v>
      </c>
      <c r="S231" s="292" t="s">
        <v>230</v>
      </c>
      <c r="T231" s="296">
        <f>'Nhan cong'!M$42+'Nhan cong'!M$46</f>
        <v>316373.07692307694</v>
      </c>
      <c r="U231" s="250">
        <f>ROUND((J231+L231+N231+R231+T231),0)</f>
        <v>519356</v>
      </c>
      <c r="V231" s="250">
        <v>564552</v>
      </c>
      <c r="W231" s="250">
        <v>519356</v>
      </c>
      <c r="X231" s="250">
        <v>453068</v>
      </c>
      <c r="Y231" s="293">
        <v>216200</v>
      </c>
      <c r="Z231" s="294"/>
      <c r="AA231" s="251"/>
      <c r="AB231" s="251"/>
    </row>
    <row r="232" spans="1:28" s="295" customFormat="1" ht="15.75">
      <c r="A232" s="297"/>
      <c r="B232" s="284"/>
      <c r="C232" s="298"/>
      <c r="D232" s="284"/>
      <c r="E232" s="272"/>
      <c r="F232" s="151" t="s">
        <v>855</v>
      </c>
      <c r="G232" s="284"/>
      <c r="H232" s="284"/>
      <c r="I232" s="284"/>
      <c r="J232" s="299"/>
      <c r="K232" s="288"/>
      <c r="L232" s="289"/>
      <c r="M232" s="288"/>
      <c r="N232" s="300"/>
      <c r="O232" s="290"/>
      <c r="P232" s="291"/>
      <c r="Q232" s="288"/>
      <c r="R232" s="300"/>
      <c r="S232" s="292"/>
      <c r="T232" s="296"/>
      <c r="U232" s="250"/>
      <c r="V232" s="250"/>
      <c r="W232" s="250"/>
      <c r="X232" s="250"/>
      <c r="Y232" s="293"/>
      <c r="Z232" s="385"/>
      <c r="AA232" s="251"/>
      <c r="AB232" s="251"/>
    </row>
    <row r="233" spans="1:28" s="295" customFormat="1" ht="15.75">
      <c r="A233" s="284">
        <v>194</v>
      </c>
      <c r="B233" s="284">
        <v>0</v>
      </c>
      <c r="C233" s="284" t="s">
        <v>856</v>
      </c>
      <c r="D233" s="284" t="s">
        <v>916</v>
      </c>
      <c r="E233" s="285" t="s">
        <v>2599</v>
      </c>
      <c r="F233" s="286" t="s">
        <v>857</v>
      </c>
      <c r="G233" s="284">
        <v>200</v>
      </c>
      <c r="H233" s="284">
        <v>16</v>
      </c>
      <c r="I233" s="284">
        <v>0.95</v>
      </c>
      <c r="J233" s="287">
        <f>Y233*H233%*I233/G233*1000</f>
        <v>243123.99999999997</v>
      </c>
      <c r="K233" s="288">
        <v>4.5</v>
      </c>
      <c r="L233" s="289">
        <f>(Y233*K233%)/G233*1000</f>
        <v>71977.5</v>
      </c>
      <c r="M233" s="288">
        <v>5</v>
      </c>
      <c r="N233" s="289">
        <f>(Y233*M233%)/G233*1000</f>
        <v>79975</v>
      </c>
      <c r="O233" s="290">
        <v>18</v>
      </c>
      <c r="P233" s="291" t="s">
        <v>1590</v>
      </c>
      <c r="Q233" s="288">
        <v>1.05</v>
      </c>
      <c r="R233" s="289">
        <f>O233*diezel*Q233</f>
        <v>362536.39800000004</v>
      </c>
      <c r="S233" s="292" t="s">
        <v>311</v>
      </c>
      <c r="T233" s="296">
        <f>'Nhan cong'!M$46</f>
        <v>170398.84615384616</v>
      </c>
      <c r="U233" s="250">
        <f>ROUND((J233+L233+N233+R233+T233),0)</f>
        <v>928012</v>
      </c>
      <c r="V233" s="250">
        <v>952355</v>
      </c>
      <c r="W233" s="250">
        <v>928012</v>
      </c>
      <c r="X233" s="250">
        <v>892309</v>
      </c>
      <c r="Y233" s="293">
        <v>319900</v>
      </c>
      <c r="Z233" s="294"/>
      <c r="AA233" s="251"/>
      <c r="AB233" s="251"/>
    </row>
    <row r="234" spans="1:28" s="295" customFormat="1" ht="15.75">
      <c r="A234" s="284">
        <v>195</v>
      </c>
      <c r="B234" s="284">
        <v>0</v>
      </c>
      <c r="C234" s="284" t="s">
        <v>858</v>
      </c>
      <c r="D234" s="284" t="s">
        <v>920</v>
      </c>
      <c r="E234" s="285" t="s">
        <v>2600</v>
      </c>
      <c r="F234" s="286" t="s">
        <v>859</v>
      </c>
      <c r="G234" s="284">
        <v>200</v>
      </c>
      <c r="H234" s="284">
        <v>16</v>
      </c>
      <c r="I234" s="284">
        <v>0.95</v>
      </c>
      <c r="J234" s="287">
        <f>Y234*H234%*I234/G234*1000</f>
        <v>279604</v>
      </c>
      <c r="K234" s="288">
        <v>4.5</v>
      </c>
      <c r="L234" s="289">
        <f>(Y234*K234%)/G234*1000</f>
        <v>82777.5</v>
      </c>
      <c r="M234" s="288">
        <v>5</v>
      </c>
      <c r="N234" s="289">
        <f>(Y234*M234%)/G234*1000</f>
        <v>91975</v>
      </c>
      <c r="O234" s="290">
        <v>21</v>
      </c>
      <c r="P234" s="291" t="s">
        <v>1590</v>
      </c>
      <c r="Q234" s="288">
        <v>1.05</v>
      </c>
      <c r="R234" s="289">
        <f>O234*diezel*Q234</f>
        <v>422959.131</v>
      </c>
      <c r="S234" s="292" t="s">
        <v>311</v>
      </c>
      <c r="T234" s="296">
        <f>'Nhan cong'!M$46</f>
        <v>170398.84615384616</v>
      </c>
      <c r="U234" s="250">
        <f>ROUND((J234+L234+N234+R234+T234),0)</f>
        <v>1047714</v>
      </c>
      <c r="V234" s="250">
        <v>1072058</v>
      </c>
      <c r="W234" s="250">
        <v>1047714</v>
      </c>
      <c r="X234" s="250">
        <v>1012012</v>
      </c>
      <c r="Y234" s="293">
        <v>367900</v>
      </c>
      <c r="Z234" s="294"/>
      <c r="AA234" s="251"/>
      <c r="AB234" s="251"/>
    </row>
    <row r="235" spans="1:28" s="295" customFormat="1" ht="15.75">
      <c r="A235" s="284">
        <v>196</v>
      </c>
      <c r="B235" s="284">
        <v>0</v>
      </c>
      <c r="C235" s="284" t="s">
        <v>860</v>
      </c>
      <c r="D235" s="284" t="s">
        <v>924</v>
      </c>
      <c r="E235" s="285" t="s">
        <v>2601</v>
      </c>
      <c r="F235" s="286" t="s">
        <v>1791</v>
      </c>
      <c r="G235" s="284">
        <v>200</v>
      </c>
      <c r="H235" s="284">
        <v>16</v>
      </c>
      <c r="I235" s="284">
        <v>0.95</v>
      </c>
      <c r="J235" s="287">
        <f>Y235*H235%*I235/G235*1000</f>
        <v>337592</v>
      </c>
      <c r="K235" s="288">
        <v>4.5</v>
      </c>
      <c r="L235" s="289">
        <f>(Y235*K235%)/G235*1000</f>
        <v>99945</v>
      </c>
      <c r="M235" s="288">
        <v>5</v>
      </c>
      <c r="N235" s="289">
        <f>(Y235*M235%)/G235*1000</f>
        <v>111050</v>
      </c>
      <c r="O235" s="290">
        <v>24</v>
      </c>
      <c r="P235" s="291" t="s">
        <v>1590</v>
      </c>
      <c r="Q235" s="288">
        <v>1.05</v>
      </c>
      <c r="R235" s="289">
        <f>O235*diezel*Q235</f>
        <v>483381.864</v>
      </c>
      <c r="S235" s="292" t="s">
        <v>311</v>
      </c>
      <c r="T235" s="296">
        <f>'Nhan cong'!M$46</f>
        <v>170398.84615384616</v>
      </c>
      <c r="U235" s="250">
        <f>ROUND((J235+L235+N235+R235+T235),0)</f>
        <v>1202368</v>
      </c>
      <c r="V235" s="250">
        <v>1226711</v>
      </c>
      <c r="W235" s="250">
        <v>1202368</v>
      </c>
      <c r="X235" s="250">
        <v>1166665</v>
      </c>
      <c r="Y235" s="293">
        <v>444200</v>
      </c>
      <c r="Z235" s="294"/>
      <c r="AA235" s="251"/>
      <c r="AB235" s="251"/>
    </row>
    <row r="236" spans="1:28" s="295" customFormat="1" ht="15.75">
      <c r="A236" s="284">
        <v>197</v>
      </c>
      <c r="B236" s="284">
        <v>0</v>
      </c>
      <c r="C236" s="284" t="s">
        <v>861</v>
      </c>
      <c r="D236" s="284" t="s">
        <v>928</v>
      </c>
      <c r="E236" s="285" t="s">
        <v>2602</v>
      </c>
      <c r="F236" s="286" t="s">
        <v>862</v>
      </c>
      <c r="G236" s="284">
        <v>200</v>
      </c>
      <c r="H236" s="284">
        <v>16</v>
      </c>
      <c r="I236" s="284">
        <v>0.95</v>
      </c>
      <c r="J236" s="287">
        <f>Y236*H236%*I236/G236*1000</f>
        <v>388284</v>
      </c>
      <c r="K236" s="288">
        <v>4.5</v>
      </c>
      <c r="L236" s="289">
        <f>(Y236*K236%)/G236*1000</f>
        <v>114952.5</v>
      </c>
      <c r="M236" s="288">
        <v>5</v>
      </c>
      <c r="N236" s="289">
        <f>(Y236*M236%)/G236*1000</f>
        <v>127725</v>
      </c>
      <c r="O236" s="290">
        <v>33</v>
      </c>
      <c r="P236" s="291" t="s">
        <v>1590</v>
      </c>
      <c r="Q236" s="288">
        <v>1.05</v>
      </c>
      <c r="R236" s="289">
        <f>O236*diezel*Q236</f>
        <v>664650.063</v>
      </c>
      <c r="S236" s="292" t="s">
        <v>311</v>
      </c>
      <c r="T236" s="296">
        <f>'Nhan cong'!M$46</f>
        <v>170398.84615384616</v>
      </c>
      <c r="U236" s="250">
        <f>ROUND((J236+L236+N236+R236+T236),0)</f>
        <v>1466010</v>
      </c>
      <c r="V236" s="250">
        <v>1490354</v>
      </c>
      <c r="W236" s="250">
        <v>1466010</v>
      </c>
      <c r="X236" s="250">
        <v>1430308</v>
      </c>
      <c r="Y236" s="293">
        <v>510900</v>
      </c>
      <c r="Z236" s="294"/>
      <c r="AA236" s="251"/>
      <c r="AB236" s="251"/>
    </row>
    <row r="237" spans="1:28" s="295" customFormat="1" ht="15.75">
      <c r="A237" s="297"/>
      <c r="B237" s="284"/>
      <c r="C237" s="298"/>
      <c r="D237" s="284"/>
      <c r="E237" s="272"/>
      <c r="F237" s="149" t="s">
        <v>863</v>
      </c>
      <c r="G237" s="284"/>
      <c r="H237" s="284"/>
      <c r="I237" s="284"/>
      <c r="J237" s="299"/>
      <c r="K237" s="301"/>
      <c r="L237" s="289"/>
      <c r="M237" s="301"/>
      <c r="N237" s="300"/>
      <c r="O237" s="302"/>
      <c r="P237" s="272"/>
      <c r="Q237" s="288"/>
      <c r="R237" s="300"/>
      <c r="S237" s="284"/>
      <c r="T237" s="296"/>
      <c r="U237" s="250"/>
      <c r="V237" s="250"/>
      <c r="W237" s="250"/>
      <c r="X237" s="250"/>
      <c r="Y237" s="293"/>
      <c r="Z237" s="385"/>
      <c r="AA237" s="251"/>
      <c r="AB237" s="251"/>
    </row>
    <row r="238" spans="1:28" s="295" customFormat="1" ht="63">
      <c r="A238" s="284">
        <v>198</v>
      </c>
      <c r="B238" s="284">
        <v>0</v>
      </c>
      <c r="C238" s="284" t="s">
        <v>864</v>
      </c>
      <c r="D238" s="284" t="s">
        <v>507</v>
      </c>
      <c r="E238" s="285" t="s">
        <v>2603</v>
      </c>
      <c r="F238" s="286" t="s">
        <v>969</v>
      </c>
      <c r="G238" s="284">
        <v>150</v>
      </c>
      <c r="H238" s="284">
        <v>16</v>
      </c>
      <c r="I238" s="284">
        <v>0.95</v>
      </c>
      <c r="J238" s="287">
        <f>Y238*H238%*I238/G238*1000</f>
        <v>964490.6666666667</v>
      </c>
      <c r="K238" s="301">
        <v>4.2</v>
      </c>
      <c r="L238" s="289">
        <f>(Y238*K238%)/G238*1000</f>
        <v>266504</v>
      </c>
      <c r="M238" s="301">
        <v>6</v>
      </c>
      <c r="N238" s="289">
        <f>(Y238*M238%)/G238*1000</f>
        <v>380720</v>
      </c>
      <c r="O238" s="302">
        <v>53.1</v>
      </c>
      <c r="P238" s="272" t="s">
        <v>1590</v>
      </c>
      <c r="Q238" s="288">
        <v>1.05</v>
      </c>
      <c r="R238" s="289">
        <f>O238*diezel*Q238</f>
        <v>1069482.3741000001</v>
      </c>
      <c r="S238" s="284" t="s">
        <v>970</v>
      </c>
      <c r="T238" s="296">
        <f>Nii4+Nii5+Nii6</f>
        <v>514758.46153846156</v>
      </c>
      <c r="U238" s="250">
        <f>ROUND((J238+L238+N238+R238+T238),0)-2</f>
        <v>3195954</v>
      </c>
      <c r="V238" s="250">
        <v>3269492</v>
      </c>
      <c r="W238" s="250">
        <v>3195954</v>
      </c>
      <c r="X238" s="250">
        <v>3088101</v>
      </c>
      <c r="Y238" s="293">
        <v>951800</v>
      </c>
      <c r="Z238" s="294">
        <v>-2</v>
      </c>
      <c r="AA238" s="251"/>
      <c r="AB238" s="251"/>
    </row>
    <row r="239" spans="1:28" s="295" customFormat="1" ht="63">
      <c r="A239" s="284">
        <v>199</v>
      </c>
      <c r="B239" s="284">
        <v>0</v>
      </c>
      <c r="C239" s="284" t="s">
        <v>971</v>
      </c>
      <c r="D239" s="284" t="s">
        <v>3302</v>
      </c>
      <c r="E239" s="285" t="s">
        <v>2604</v>
      </c>
      <c r="F239" s="286" t="s">
        <v>972</v>
      </c>
      <c r="G239" s="284">
        <v>150</v>
      </c>
      <c r="H239" s="284">
        <v>17</v>
      </c>
      <c r="I239" s="284">
        <v>0.95</v>
      </c>
      <c r="J239" s="287">
        <f>Y239*H239%*I239/G239*1000</f>
        <v>566757.3333333333</v>
      </c>
      <c r="K239" s="301">
        <v>3.8</v>
      </c>
      <c r="L239" s="289">
        <f>(Y239*K239%)/G239*1000</f>
        <v>133354.6666666667</v>
      </c>
      <c r="M239" s="301">
        <v>6</v>
      </c>
      <c r="N239" s="289">
        <f>(Y239*M239%)/G239*1000</f>
        <v>210560</v>
      </c>
      <c r="O239" s="302">
        <v>53.1</v>
      </c>
      <c r="P239" s="272" t="s">
        <v>1590</v>
      </c>
      <c r="Q239" s="288">
        <v>1.05</v>
      </c>
      <c r="R239" s="289">
        <f>O239*diezel*Q239</f>
        <v>1069482.3741000001</v>
      </c>
      <c r="S239" s="284" t="s">
        <v>973</v>
      </c>
      <c r="T239" s="296">
        <f>2*Nii4+Nii5+Nii6</f>
        <v>660732.6923076924</v>
      </c>
      <c r="U239" s="250">
        <f>ROUND((J239+L239+N239+R239+T239),0)</f>
        <v>2640887</v>
      </c>
      <c r="V239" s="250">
        <v>2735277</v>
      </c>
      <c r="W239" s="250">
        <v>2640887</v>
      </c>
      <c r="X239" s="250">
        <v>2502447</v>
      </c>
      <c r="Y239" s="293">
        <v>526400</v>
      </c>
      <c r="Z239" s="294"/>
      <c r="AA239" s="251"/>
      <c r="AB239" s="251"/>
    </row>
    <row r="240" spans="1:28" s="295" customFormat="1" ht="15.75">
      <c r="A240" s="297"/>
      <c r="B240" s="284"/>
      <c r="C240" s="298"/>
      <c r="D240" s="284"/>
      <c r="E240" s="272"/>
      <c r="F240" s="151" t="s">
        <v>974</v>
      </c>
      <c r="G240" s="284"/>
      <c r="H240" s="284"/>
      <c r="I240" s="284"/>
      <c r="J240" s="299"/>
      <c r="K240" s="288"/>
      <c r="L240" s="289"/>
      <c r="M240" s="288"/>
      <c r="N240" s="300"/>
      <c r="O240" s="290"/>
      <c r="P240" s="291"/>
      <c r="Q240" s="288"/>
      <c r="R240" s="300"/>
      <c r="S240" s="292"/>
      <c r="T240" s="296"/>
      <c r="U240" s="250"/>
      <c r="V240" s="250"/>
      <c r="W240" s="250"/>
      <c r="X240" s="250"/>
      <c r="Y240" s="293"/>
      <c r="Z240" s="385"/>
      <c r="AA240" s="251"/>
      <c r="AB240" s="251"/>
    </row>
    <row r="241" spans="1:28" s="295" customFormat="1" ht="31.5">
      <c r="A241" s="284">
        <v>200</v>
      </c>
      <c r="B241" s="284">
        <v>0</v>
      </c>
      <c r="C241" s="284" t="s">
        <v>975</v>
      </c>
      <c r="D241" s="284" t="s">
        <v>2396</v>
      </c>
      <c r="E241" s="285" t="s">
        <v>83</v>
      </c>
      <c r="F241" s="286" t="s">
        <v>976</v>
      </c>
      <c r="G241" s="284">
        <v>220</v>
      </c>
      <c r="H241" s="284">
        <v>16</v>
      </c>
      <c r="I241" s="284">
        <v>0.95</v>
      </c>
      <c r="J241" s="287">
        <f aca="true" t="shared" si="59" ref="J241:J254">Y241*H241%*I241/G241*1000</f>
        <v>322378.1818181818</v>
      </c>
      <c r="K241" s="288">
        <v>4.72</v>
      </c>
      <c r="L241" s="289">
        <f aca="true" t="shared" si="60" ref="L241:L254">(Y241*K241%)/G241*1000</f>
        <v>100106.9090909091</v>
      </c>
      <c r="M241" s="288">
        <v>5</v>
      </c>
      <c r="N241" s="289">
        <f aca="true" t="shared" si="61" ref="N241:N254">(Y241*M241%)/G241*1000</f>
        <v>106045.45454545454</v>
      </c>
      <c r="O241" s="290">
        <v>21.375</v>
      </c>
      <c r="P241" s="291" t="s">
        <v>1590</v>
      </c>
      <c r="Q241" s="288">
        <v>1.05</v>
      </c>
      <c r="R241" s="289">
        <f aca="true" t="shared" si="62" ref="R241:R254">O241*diezel*Q241</f>
        <v>430511.972625</v>
      </c>
      <c r="S241" s="292" t="s">
        <v>977</v>
      </c>
      <c r="T241" s="296">
        <f>'Nhan cong'!M82+'Nhan cong'!M84</f>
        <v>282280.3846153846</v>
      </c>
      <c r="U241" s="250">
        <f>ROUND((J241+L241+N241+R241+T241),0)+100</f>
        <v>1241423</v>
      </c>
      <c r="V241" s="250">
        <v>1281649</v>
      </c>
      <c r="W241" s="250">
        <v>1241423</v>
      </c>
      <c r="X241" s="250">
        <v>1182279</v>
      </c>
      <c r="Y241" s="293">
        <v>466600</v>
      </c>
      <c r="Z241" s="294">
        <v>100</v>
      </c>
      <c r="AA241" s="251"/>
      <c r="AB241" s="251"/>
    </row>
    <row r="242" spans="1:28" s="295" customFormat="1" ht="31.5">
      <c r="A242" s="284">
        <v>201</v>
      </c>
      <c r="B242" s="284">
        <v>0</v>
      </c>
      <c r="C242" s="284" t="s">
        <v>978</v>
      </c>
      <c r="D242" s="284" t="s">
        <v>144</v>
      </c>
      <c r="E242" s="285" t="s">
        <v>2605</v>
      </c>
      <c r="F242" s="286" t="s">
        <v>979</v>
      </c>
      <c r="G242" s="284">
        <v>220</v>
      </c>
      <c r="H242" s="284">
        <v>16</v>
      </c>
      <c r="I242" s="284">
        <v>0.95</v>
      </c>
      <c r="J242" s="287">
        <f t="shared" si="59"/>
        <v>389189.0909090908</v>
      </c>
      <c r="K242" s="288">
        <v>4.72</v>
      </c>
      <c r="L242" s="289">
        <f t="shared" si="60"/>
        <v>120853.45454545454</v>
      </c>
      <c r="M242" s="288">
        <v>5</v>
      </c>
      <c r="N242" s="289">
        <f t="shared" si="61"/>
        <v>128022.72727272728</v>
      </c>
      <c r="O242" s="290">
        <v>24.75</v>
      </c>
      <c r="P242" s="291" t="s">
        <v>1590</v>
      </c>
      <c r="Q242" s="288">
        <v>1.05</v>
      </c>
      <c r="R242" s="289">
        <f t="shared" si="62"/>
        <v>498487.54725</v>
      </c>
      <c r="S242" s="292" t="s">
        <v>977</v>
      </c>
      <c r="T242" s="296">
        <f>'Nhan cong'!M82+'Nhan cong'!M84</f>
        <v>282280.3846153846</v>
      </c>
      <c r="U242" s="250">
        <f aca="true" t="shared" si="63" ref="U242:U251">ROUND((J242+L242+N242+R242+T242),0)</f>
        <v>1418833</v>
      </c>
      <c r="V242" s="250">
        <v>1459159</v>
      </c>
      <c r="W242" s="250">
        <v>1418833</v>
      </c>
      <c r="X242" s="250">
        <v>1359689</v>
      </c>
      <c r="Y242" s="293">
        <v>563300</v>
      </c>
      <c r="Z242" s="294"/>
      <c r="AA242" s="251"/>
      <c r="AB242" s="251"/>
    </row>
    <row r="243" spans="1:28" s="295" customFormat="1" ht="31.5">
      <c r="A243" s="284">
        <v>202</v>
      </c>
      <c r="B243" s="284">
        <v>0</v>
      </c>
      <c r="C243" s="284" t="s">
        <v>980</v>
      </c>
      <c r="D243" s="284" t="s">
        <v>157</v>
      </c>
      <c r="E243" s="285" t="s">
        <v>84</v>
      </c>
      <c r="F243" s="286" t="s">
        <v>1789</v>
      </c>
      <c r="G243" s="284">
        <v>220</v>
      </c>
      <c r="H243" s="284">
        <v>16</v>
      </c>
      <c r="I243" s="284">
        <v>0.95</v>
      </c>
      <c r="J243" s="287">
        <f t="shared" si="59"/>
        <v>417792.72727272724</v>
      </c>
      <c r="K243" s="288">
        <v>4.72</v>
      </c>
      <c r="L243" s="289">
        <f t="shared" si="60"/>
        <v>129735.63636363635</v>
      </c>
      <c r="M243" s="288">
        <v>5</v>
      </c>
      <c r="N243" s="289">
        <f t="shared" si="61"/>
        <v>137431.81818181818</v>
      </c>
      <c r="O243" s="290">
        <v>25.875</v>
      </c>
      <c r="P243" s="291" t="s">
        <v>1590</v>
      </c>
      <c r="Q243" s="288">
        <v>1.05</v>
      </c>
      <c r="R243" s="289">
        <f t="shared" si="62"/>
        <v>521146.072125</v>
      </c>
      <c r="S243" s="292" t="s">
        <v>1803</v>
      </c>
      <c r="T243" s="296">
        <f>'Nhan cong'!M87+'Nhan cong'!M89</f>
        <v>301107.6923076923</v>
      </c>
      <c r="U243" s="250">
        <f>ROUND((J243+L243+N243+R243+T243),0)+100</f>
        <v>1507314</v>
      </c>
      <c r="V243" s="250">
        <v>1550229</v>
      </c>
      <c r="W243" s="250">
        <v>1507314</v>
      </c>
      <c r="X243" s="250">
        <v>1444225</v>
      </c>
      <c r="Y243" s="293">
        <v>604700</v>
      </c>
      <c r="Z243" s="294">
        <v>100</v>
      </c>
      <c r="AA243" s="251"/>
      <c r="AB243" s="251"/>
    </row>
    <row r="244" spans="1:28" s="295" customFormat="1" ht="31.5">
      <c r="A244" s="284">
        <v>203</v>
      </c>
      <c r="B244" s="284">
        <v>0</v>
      </c>
      <c r="C244" s="284" t="s">
        <v>981</v>
      </c>
      <c r="D244" s="284" t="s">
        <v>164</v>
      </c>
      <c r="E244" s="285" t="s">
        <v>85</v>
      </c>
      <c r="F244" s="286" t="s">
        <v>857</v>
      </c>
      <c r="G244" s="284">
        <v>220</v>
      </c>
      <c r="H244" s="284">
        <v>16</v>
      </c>
      <c r="I244" s="284">
        <v>0.95</v>
      </c>
      <c r="J244" s="287">
        <f t="shared" si="59"/>
        <v>463945.45454545453</v>
      </c>
      <c r="K244" s="288">
        <v>4.4</v>
      </c>
      <c r="L244" s="289">
        <f t="shared" si="60"/>
        <v>134300</v>
      </c>
      <c r="M244" s="288">
        <v>5</v>
      </c>
      <c r="N244" s="289">
        <f t="shared" si="61"/>
        <v>152613.63636363638</v>
      </c>
      <c r="O244" s="290">
        <v>30.375</v>
      </c>
      <c r="P244" s="291" t="s">
        <v>1590</v>
      </c>
      <c r="Q244" s="288">
        <v>1.05</v>
      </c>
      <c r="R244" s="289">
        <f t="shared" si="62"/>
        <v>611780.171625</v>
      </c>
      <c r="S244" s="292" t="s">
        <v>1803</v>
      </c>
      <c r="T244" s="296">
        <f>'Nhan cong'!M87+'Nhan cong'!M89</f>
        <v>301107.6923076923</v>
      </c>
      <c r="U244" s="250">
        <f>ROUND((J244+L244+N244+R244+T244),0)+100</f>
        <v>1663847</v>
      </c>
      <c r="V244" s="250">
        <v>1706762</v>
      </c>
      <c r="W244" s="250">
        <v>1663847</v>
      </c>
      <c r="X244" s="250">
        <v>1600758</v>
      </c>
      <c r="Y244" s="293">
        <v>671500</v>
      </c>
      <c r="Z244" s="294">
        <v>100</v>
      </c>
      <c r="AA244" s="251"/>
      <c r="AB244" s="251"/>
    </row>
    <row r="245" spans="1:28" s="295" customFormat="1" ht="31.5">
      <c r="A245" s="284">
        <v>204</v>
      </c>
      <c r="B245" s="284" t="s">
        <v>3798</v>
      </c>
      <c r="C245" s="284" t="s">
        <v>982</v>
      </c>
      <c r="D245" s="284" t="s">
        <v>169</v>
      </c>
      <c r="E245" s="285" t="s">
        <v>86</v>
      </c>
      <c r="F245" s="286" t="s">
        <v>983</v>
      </c>
      <c r="G245" s="284">
        <v>220</v>
      </c>
      <c r="H245" s="284">
        <v>16</v>
      </c>
      <c r="I245" s="284">
        <v>0.95</v>
      </c>
      <c r="J245" s="287">
        <f t="shared" si="59"/>
        <v>571865.4545454546</v>
      </c>
      <c r="K245" s="288">
        <v>4.4</v>
      </c>
      <c r="L245" s="289">
        <f t="shared" si="60"/>
        <v>165540.00000000003</v>
      </c>
      <c r="M245" s="288">
        <v>5</v>
      </c>
      <c r="N245" s="289">
        <f t="shared" si="61"/>
        <v>188113.63636363638</v>
      </c>
      <c r="O245" s="290">
        <v>32.625</v>
      </c>
      <c r="P245" s="291" t="s">
        <v>1590</v>
      </c>
      <c r="Q245" s="288">
        <v>1.05</v>
      </c>
      <c r="R245" s="289">
        <f t="shared" si="62"/>
        <v>657097.221375</v>
      </c>
      <c r="S245" s="292" t="s">
        <v>1803</v>
      </c>
      <c r="T245" s="296">
        <f>'Nhan cong'!M87+'Nhan cong'!M89</f>
        <v>301107.6923076923</v>
      </c>
      <c r="U245" s="250">
        <f>ROUND((J245+L245+N245+R245+T245),0)+100</f>
        <v>1883824</v>
      </c>
      <c r="V245" s="250">
        <v>1926739</v>
      </c>
      <c r="W245" s="250">
        <v>1883824</v>
      </c>
      <c r="X245" s="250">
        <v>1820735</v>
      </c>
      <c r="Y245" s="293">
        <v>827700</v>
      </c>
      <c r="Z245" s="294">
        <v>100</v>
      </c>
      <c r="AA245" s="251"/>
      <c r="AB245" s="251"/>
    </row>
    <row r="246" spans="1:28" s="295" customFormat="1" ht="31.5">
      <c r="A246" s="284">
        <v>205</v>
      </c>
      <c r="B246" s="284" t="s">
        <v>3797</v>
      </c>
      <c r="C246" s="284" t="s">
        <v>984</v>
      </c>
      <c r="D246" s="284" t="s">
        <v>2390</v>
      </c>
      <c r="E246" s="285" t="s">
        <v>2606</v>
      </c>
      <c r="F246" s="286" t="s">
        <v>1793</v>
      </c>
      <c r="G246" s="284">
        <v>220</v>
      </c>
      <c r="H246" s="284">
        <v>14</v>
      </c>
      <c r="I246" s="284">
        <v>0.95</v>
      </c>
      <c r="J246" s="287">
        <f t="shared" si="59"/>
        <v>700547.2727272728</v>
      </c>
      <c r="K246" s="288">
        <v>4.28</v>
      </c>
      <c r="L246" s="289">
        <f t="shared" si="60"/>
        <v>225439.27272727276</v>
      </c>
      <c r="M246" s="288">
        <v>5</v>
      </c>
      <c r="N246" s="289">
        <f t="shared" si="61"/>
        <v>263363.63636363635</v>
      </c>
      <c r="O246" s="290">
        <v>37</v>
      </c>
      <c r="P246" s="291" t="s">
        <v>1590</v>
      </c>
      <c r="Q246" s="288">
        <v>1.05</v>
      </c>
      <c r="R246" s="289">
        <f t="shared" si="62"/>
        <v>745213.707</v>
      </c>
      <c r="S246" s="292" t="s">
        <v>1749</v>
      </c>
      <c r="T246" s="296">
        <f>'Nhan cong'!M92+'Nhan cong'!M94</f>
        <v>318917.3076923077</v>
      </c>
      <c r="U246" s="250">
        <f>ROUND((J246+L246+N246+R246+T246),0)</f>
        <v>2253481</v>
      </c>
      <c r="V246" s="250">
        <v>2299041</v>
      </c>
      <c r="W246" s="250">
        <v>2253481</v>
      </c>
      <c r="X246" s="250">
        <v>2186661</v>
      </c>
      <c r="Y246" s="293">
        <v>1158800</v>
      </c>
      <c r="Z246" s="294"/>
      <c r="AA246" s="251"/>
      <c r="AB246" s="251"/>
    </row>
    <row r="247" spans="1:28" s="295" customFormat="1" ht="31.5">
      <c r="A247" s="284">
        <v>206</v>
      </c>
      <c r="B247" s="284">
        <v>0</v>
      </c>
      <c r="C247" s="284" t="s">
        <v>985</v>
      </c>
      <c r="D247" s="284" t="s">
        <v>2393</v>
      </c>
      <c r="E247" s="285" t="s">
        <v>2607</v>
      </c>
      <c r="F247" s="286" t="s">
        <v>986</v>
      </c>
      <c r="G247" s="284">
        <v>220</v>
      </c>
      <c r="H247" s="284">
        <v>14</v>
      </c>
      <c r="I247" s="284">
        <v>0.95</v>
      </c>
      <c r="J247" s="287">
        <f t="shared" si="59"/>
        <v>820851.8181818184</v>
      </c>
      <c r="K247" s="288">
        <v>4.28</v>
      </c>
      <c r="L247" s="289">
        <f t="shared" si="60"/>
        <v>264153.81818181823</v>
      </c>
      <c r="M247" s="288">
        <v>5</v>
      </c>
      <c r="N247" s="289">
        <f t="shared" si="61"/>
        <v>308590.90909090906</v>
      </c>
      <c r="O247" s="290">
        <v>43</v>
      </c>
      <c r="P247" s="291" t="s">
        <v>1590</v>
      </c>
      <c r="Q247" s="288">
        <v>1.05</v>
      </c>
      <c r="R247" s="289">
        <f t="shared" si="62"/>
        <v>866059.1730000001</v>
      </c>
      <c r="S247" s="292" t="s">
        <v>1749</v>
      </c>
      <c r="T247" s="296">
        <f>'Nhan cong'!M92+'Nhan cong'!M94</f>
        <v>318917.3076923077</v>
      </c>
      <c r="U247" s="250">
        <f>ROUND((J247+L247+N247+R247+T247),0)-1</f>
        <v>2578572</v>
      </c>
      <c r="V247" s="250">
        <v>2624133</v>
      </c>
      <c r="W247" s="250">
        <v>2578572</v>
      </c>
      <c r="X247" s="250">
        <v>2511753</v>
      </c>
      <c r="Y247" s="293">
        <v>1357800</v>
      </c>
      <c r="Z247" s="294"/>
      <c r="AA247" s="251"/>
      <c r="AB247" s="251"/>
    </row>
    <row r="248" spans="1:28" s="295" customFormat="1" ht="31.5">
      <c r="A248" s="284">
        <v>207</v>
      </c>
      <c r="B248" s="284">
        <v>0</v>
      </c>
      <c r="C248" s="284" t="s">
        <v>987</v>
      </c>
      <c r="D248" s="284" t="s">
        <v>2401</v>
      </c>
      <c r="E248" s="285" t="s">
        <v>2608</v>
      </c>
      <c r="F248" s="286" t="s">
        <v>988</v>
      </c>
      <c r="G248" s="284">
        <v>220</v>
      </c>
      <c r="H248" s="284">
        <v>14</v>
      </c>
      <c r="I248" s="284">
        <v>0.95</v>
      </c>
      <c r="J248" s="287">
        <f t="shared" si="59"/>
        <v>1022709.5454545455</v>
      </c>
      <c r="K248" s="288">
        <v>4.28</v>
      </c>
      <c r="L248" s="289">
        <f t="shared" si="60"/>
        <v>329112.5454545455</v>
      </c>
      <c r="M248" s="288">
        <v>5</v>
      </c>
      <c r="N248" s="289">
        <f t="shared" si="61"/>
        <v>384477.27272727276</v>
      </c>
      <c r="O248" s="290">
        <v>44</v>
      </c>
      <c r="P248" s="291" t="s">
        <v>1590</v>
      </c>
      <c r="Q248" s="288">
        <v>1.05</v>
      </c>
      <c r="R248" s="289">
        <f t="shared" si="62"/>
        <v>886200.084</v>
      </c>
      <c r="S248" s="292" t="s">
        <v>989</v>
      </c>
      <c r="T248" s="296">
        <f>'Nhan cong'!M97+'Nhan cong'!M99</f>
        <v>336726.92307692306</v>
      </c>
      <c r="U248" s="250">
        <f t="shared" si="63"/>
        <v>2959226</v>
      </c>
      <c r="V248" s="250">
        <v>3007330</v>
      </c>
      <c r="W248" s="250">
        <v>2959226</v>
      </c>
      <c r="X248" s="250">
        <v>2888674</v>
      </c>
      <c r="Y248" s="293">
        <v>1691700</v>
      </c>
      <c r="Z248" s="294"/>
      <c r="AA248" s="251"/>
      <c r="AB248" s="251"/>
    </row>
    <row r="249" spans="1:28" s="295" customFormat="1" ht="31.5">
      <c r="A249" s="284">
        <v>208</v>
      </c>
      <c r="B249" s="284">
        <v>0</v>
      </c>
      <c r="C249" s="284" t="s">
        <v>990</v>
      </c>
      <c r="D249" s="284" t="s">
        <v>2406</v>
      </c>
      <c r="E249" s="285" t="s">
        <v>2609</v>
      </c>
      <c r="F249" s="286" t="s">
        <v>991</v>
      </c>
      <c r="G249" s="284">
        <v>220</v>
      </c>
      <c r="H249" s="284">
        <v>14</v>
      </c>
      <c r="I249" s="284">
        <v>0.95</v>
      </c>
      <c r="J249" s="287">
        <f t="shared" si="59"/>
        <v>1176203.6363636365</v>
      </c>
      <c r="K249" s="288">
        <v>4</v>
      </c>
      <c r="L249" s="289">
        <f t="shared" si="60"/>
        <v>353745.45454545453</v>
      </c>
      <c r="M249" s="288">
        <v>5</v>
      </c>
      <c r="N249" s="289">
        <f t="shared" si="61"/>
        <v>442181.8181818182</v>
      </c>
      <c r="O249" s="290">
        <v>50</v>
      </c>
      <c r="P249" s="291" t="s">
        <v>1590</v>
      </c>
      <c r="Q249" s="288">
        <v>1.05</v>
      </c>
      <c r="R249" s="289">
        <f t="shared" si="62"/>
        <v>1007045.55</v>
      </c>
      <c r="S249" s="292" t="s">
        <v>1757</v>
      </c>
      <c r="T249" s="296">
        <f>'Nhan cong'!M97+'Nhan cong'!M99</f>
        <v>336726.92307692306</v>
      </c>
      <c r="U249" s="250">
        <f t="shared" si="63"/>
        <v>3315903</v>
      </c>
      <c r="V249" s="250">
        <v>3364007</v>
      </c>
      <c r="W249" s="250">
        <v>3315903</v>
      </c>
      <c r="X249" s="250">
        <v>3245351</v>
      </c>
      <c r="Y249" s="293">
        <v>1945600</v>
      </c>
      <c r="Z249" s="294"/>
      <c r="AA249" s="251"/>
      <c r="AB249" s="251"/>
    </row>
    <row r="250" spans="1:28" s="295" customFormat="1" ht="31.5">
      <c r="A250" s="284">
        <v>209</v>
      </c>
      <c r="B250" s="284">
        <v>0</v>
      </c>
      <c r="C250" s="284" t="s">
        <v>992</v>
      </c>
      <c r="D250" s="284" t="s">
        <v>2410</v>
      </c>
      <c r="E250" s="285" t="s">
        <v>2610</v>
      </c>
      <c r="F250" s="286" t="s">
        <v>993</v>
      </c>
      <c r="G250" s="284">
        <v>220</v>
      </c>
      <c r="H250" s="284">
        <v>14</v>
      </c>
      <c r="I250" s="284">
        <v>0.95</v>
      </c>
      <c r="J250" s="287">
        <f t="shared" si="59"/>
        <v>1329516.3636363638</v>
      </c>
      <c r="K250" s="288">
        <v>4</v>
      </c>
      <c r="L250" s="289">
        <f t="shared" si="60"/>
        <v>399854.54545454547</v>
      </c>
      <c r="M250" s="288">
        <v>5</v>
      </c>
      <c r="N250" s="289">
        <f t="shared" si="61"/>
        <v>499818.1818181818</v>
      </c>
      <c r="O250" s="290">
        <v>54</v>
      </c>
      <c r="P250" s="291" t="s">
        <v>1590</v>
      </c>
      <c r="Q250" s="288">
        <v>1.05</v>
      </c>
      <c r="R250" s="289">
        <f t="shared" si="62"/>
        <v>1087609.1940000001</v>
      </c>
      <c r="S250" s="292" t="s">
        <v>1762</v>
      </c>
      <c r="T250" s="296">
        <f>'Nhan cong'!M102+'Nhan cong'!M104</f>
        <v>377434.6153846154</v>
      </c>
      <c r="U250" s="250">
        <f t="shared" si="63"/>
        <v>3694233</v>
      </c>
      <c r="V250" s="250">
        <v>3748152</v>
      </c>
      <c r="W250" s="250">
        <v>3694233</v>
      </c>
      <c r="X250" s="250">
        <v>3615151</v>
      </c>
      <c r="Y250" s="293">
        <v>2199200</v>
      </c>
      <c r="Z250" s="294"/>
      <c r="AA250" s="251"/>
      <c r="AB250" s="251"/>
    </row>
    <row r="251" spans="1:28" s="295" customFormat="1" ht="31.5">
      <c r="A251" s="284">
        <v>210</v>
      </c>
      <c r="B251" s="284">
        <v>0</v>
      </c>
      <c r="C251" s="284" t="s">
        <v>994</v>
      </c>
      <c r="D251" s="284" t="s">
        <v>2416</v>
      </c>
      <c r="E251" s="285" t="s">
        <v>2611</v>
      </c>
      <c r="F251" s="286" t="s">
        <v>995</v>
      </c>
      <c r="G251" s="284">
        <v>220</v>
      </c>
      <c r="H251" s="284">
        <v>14</v>
      </c>
      <c r="I251" s="284">
        <v>0.95</v>
      </c>
      <c r="J251" s="287">
        <f t="shared" si="59"/>
        <v>1534094.5454545456</v>
      </c>
      <c r="K251" s="288">
        <v>4</v>
      </c>
      <c r="L251" s="289">
        <f t="shared" si="60"/>
        <v>461381.8181818182</v>
      </c>
      <c r="M251" s="288">
        <v>5</v>
      </c>
      <c r="N251" s="289">
        <f t="shared" si="61"/>
        <v>576727.2727272727</v>
      </c>
      <c r="O251" s="290">
        <v>60</v>
      </c>
      <c r="P251" s="291" t="s">
        <v>1590</v>
      </c>
      <c r="Q251" s="288">
        <v>1.05</v>
      </c>
      <c r="R251" s="289">
        <f t="shared" si="62"/>
        <v>1208454.66</v>
      </c>
      <c r="S251" s="292" t="s">
        <v>1762</v>
      </c>
      <c r="T251" s="296">
        <f>'Nhan cong'!M102+'Nhan cong'!M104</f>
        <v>377434.6153846154</v>
      </c>
      <c r="U251" s="250">
        <f t="shared" si="63"/>
        <v>4158093</v>
      </c>
      <c r="V251" s="250">
        <v>4212012</v>
      </c>
      <c r="W251" s="250">
        <v>4158093</v>
      </c>
      <c r="X251" s="250">
        <v>4079011</v>
      </c>
      <c r="Y251" s="293">
        <v>2537600</v>
      </c>
      <c r="Z251" s="294"/>
      <c r="AA251" s="251"/>
      <c r="AB251" s="251"/>
    </row>
    <row r="252" spans="1:28" s="295" customFormat="1" ht="31.5">
      <c r="A252" s="284">
        <v>211</v>
      </c>
      <c r="B252" s="284">
        <v>0</v>
      </c>
      <c r="C252" s="284" t="s">
        <v>996</v>
      </c>
      <c r="D252" s="284" t="s">
        <v>149</v>
      </c>
      <c r="E252" s="285" t="s">
        <v>2612</v>
      </c>
      <c r="F252" s="286" t="s">
        <v>997</v>
      </c>
      <c r="G252" s="284">
        <v>220</v>
      </c>
      <c r="H252" s="284">
        <v>13</v>
      </c>
      <c r="I252" s="284">
        <v>0.95</v>
      </c>
      <c r="J252" s="287">
        <f t="shared" si="59"/>
        <v>1829259.5454545454</v>
      </c>
      <c r="K252" s="288">
        <v>3.8</v>
      </c>
      <c r="L252" s="289">
        <f t="shared" si="60"/>
        <v>562849.0909090909</v>
      </c>
      <c r="M252" s="288">
        <v>5</v>
      </c>
      <c r="N252" s="289">
        <f t="shared" si="61"/>
        <v>740590.9090909092</v>
      </c>
      <c r="O252" s="290">
        <v>64</v>
      </c>
      <c r="P252" s="291" t="s">
        <v>1590</v>
      </c>
      <c r="Q252" s="288">
        <v>1.05</v>
      </c>
      <c r="R252" s="289">
        <f t="shared" si="62"/>
        <v>1289018.304</v>
      </c>
      <c r="S252" s="292" t="s">
        <v>998</v>
      </c>
      <c r="T252" s="296">
        <f>'Nhan cong'!M107+'Nhan cong'!M109</f>
        <v>402368.07692307694</v>
      </c>
      <c r="U252" s="250">
        <f>ROUND((J252+L252+N252+R252+T252),0)-1</f>
        <v>4824085</v>
      </c>
      <c r="V252" s="250">
        <v>4881567</v>
      </c>
      <c r="W252" s="250">
        <v>4824085</v>
      </c>
      <c r="X252" s="250">
        <v>4739780</v>
      </c>
      <c r="Y252" s="293">
        <v>3258600</v>
      </c>
      <c r="Z252" s="294"/>
      <c r="AA252" s="251"/>
      <c r="AB252" s="251"/>
    </row>
    <row r="253" spans="1:28" s="295" customFormat="1" ht="31.5">
      <c r="A253" s="284">
        <v>212</v>
      </c>
      <c r="B253" s="284">
        <v>0</v>
      </c>
      <c r="C253" s="284" t="s">
        <v>999</v>
      </c>
      <c r="D253" s="284" t="s">
        <v>153</v>
      </c>
      <c r="E253" s="285" t="s">
        <v>2613</v>
      </c>
      <c r="F253" s="286" t="s">
        <v>1000</v>
      </c>
      <c r="G253" s="284">
        <v>220</v>
      </c>
      <c r="H253" s="284">
        <v>13</v>
      </c>
      <c r="I253" s="284">
        <v>0.95</v>
      </c>
      <c r="J253" s="287">
        <f t="shared" si="59"/>
        <v>2127568.181818182</v>
      </c>
      <c r="K253" s="288">
        <v>3.8</v>
      </c>
      <c r="L253" s="289">
        <f t="shared" si="60"/>
        <v>654636.3636363636</v>
      </c>
      <c r="M253" s="288">
        <v>5</v>
      </c>
      <c r="N253" s="289">
        <f t="shared" si="61"/>
        <v>861363.6363636364</v>
      </c>
      <c r="O253" s="290">
        <v>66</v>
      </c>
      <c r="P253" s="291" t="s">
        <v>1590</v>
      </c>
      <c r="Q253" s="288">
        <v>1.05</v>
      </c>
      <c r="R253" s="289">
        <f t="shared" si="62"/>
        <v>1329300.126</v>
      </c>
      <c r="S253" s="292" t="s">
        <v>998</v>
      </c>
      <c r="T253" s="296">
        <f>'Nhan cong'!M107+'Nhan cong'!M109</f>
        <v>402368.07692307694</v>
      </c>
      <c r="U253" s="250">
        <f>ROUND((J253+L253+N253+R253+T253),0)</f>
        <v>5375236</v>
      </c>
      <c r="V253" s="250">
        <v>5432717</v>
      </c>
      <c r="W253" s="250">
        <v>5375236</v>
      </c>
      <c r="X253" s="250">
        <v>5290930</v>
      </c>
      <c r="Y253" s="293">
        <v>3790000</v>
      </c>
      <c r="Z253" s="294"/>
      <c r="AA253" s="251"/>
      <c r="AB253" s="251"/>
    </row>
    <row r="254" spans="1:28" s="295" customFormat="1" ht="31.5">
      <c r="A254" s="284">
        <v>213</v>
      </c>
      <c r="B254" s="284">
        <v>0</v>
      </c>
      <c r="C254" s="284" t="s">
        <v>1001</v>
      </c>
      <c r="D254" s="284" t="s">
        <v>159</v>
      </c>
      <c r="E254" s="285" t="s">
        <v>2614</v>
      </c>
      <c r="F254" s="286" t="s">
        <v>1002</v>
      </c>
      <c r="G254" s="284">
        <v>220</v>
      </c>
      <c r="H254" s="284">
        <v>13</v>
      </c>
      <c r="I254" s="284">
        <v>0.95</v>
      </c>
      <c r="J254" s="287">
        <f t="shared" si="59"/>
        <v>2566610.6818181816</v>
      </c>
      <c r="K254" s="288">
        <v>3.8</v>
      </c>
      <c r="L254" s="289">
        <f t="shared" si="60"/>
        <v>789726.3636363635</v>
      </c>
      <c r="M254" s="288">
        <v>5</v>
      </c>
      <c r="N254" s="289">
        <f t="shared" si="61"/>
        <v>1039113.6363636362</v>
      </c>
      <c r="O254" s="290">
        <v>70</v>
      </c>
      <c r="P254" s="291" t="s">
        <v>1590</v>
      </c>
      <c r="Q254" s="288">
        <v>1.05</v>
      </c>
      <c r="R254" s="289">
        <f t="shared" si="62"/>
        <v>1409863.77</v>
      </c>
      <c r="S254" s="292" t="s">
        <v>998</v>
      </c>
      <c r="T254" s="296">
        <f>T252</f>
        <v>402368.07692307694</v>
      </c>
      <c r="U254" s="250">
        <f>ROUND((J254+L254+N254+R254+T254),0)-1</f>
        <v>6207682</v>
      </c>
      <c r="V254" s="250">
        <v>6265163</v>
      </c>
      <c r="W254" s="250">
        <v>6207682</v>
      </c>
      <c r="X254" s="250">
        <v>6123376</v>
      </c>
      <c r="Y254" s="293">
        <v>4572100</v>
      </c>
      <c r="Z254" s="294">
        <v>-1</v>
      </c>
      <c r="AA254" s="251"/>
      <c r="AB254" s="251"/>
    </row>
    <row r="255" spans="1:28" s="295" customFormat="1" ht="15.75">
      <c r="A255" s="297"/>
      <c r="B255" s="284"/>
      <c r="C255" s="298"/>
      <c r="D255" s="284"/>
      <c r="E255" s="272"/>
      <c r="F255" s="151" t="s">
        <v>1003</v>
      </c>
      <c r="G255" s="284"/>
      <c r="H255" s="284"/>
      <c r="I255" s="284"/>
      <c r="J255" s="299"/>
      <c r="K255" s="288"/>
      <c r="L255" s="289"/>
      <c r="M255" s="288"/>
      <c r="N255" s="300"/>
      <c r="O255" s="290"/>
      <c r="P255" s="291"/>
      <c r="Q255" s="288"/>
      <c r="R255" s="300"/>
      <c r="S255" s="292"/>
      <c r="T255" s="296"/>
      <c r="U255" s="250"/>
      <c r="V255" s="250"/>
      <c r="W255" s="250"/>
      <c r="X255" s="250"/>
      <c r="Y255" s="293"/>
      <c r="Z255" s="385"/>
      <c r="AA255" s="251"/>
      <c r="AB255" s="251"/>
    </row>
    <row r="256" spans="1:28" s="295" customFormat="1" ht="15.75">
      <c r="A256" s="284">
        <v>214</v>
      </c>
      <c r="B256" s="284" t="s">
        <v>3789</v>
      </c>
      <c r="C256" s="284" t="s">
        <v>1004</v>
      </c>
      <c r="D256" s="284" t="s">
        <v>200</v>
      </c>
      <c r="E256" s="285" t="s">
        <v>2615</v>
      </c>
      <c r="F256" s="286" t="s">
        <v>986</v>
      </c>
      <c r="G256" s="284">
        <v>200</v>
      </c>
      <c r="H256" s="284">
        <v>14</v>
      </c>
      <c r="I256" s="284">
        <v>0.95</v>
      </c>
      <c r="J256" s="287">
        <f aca="true" t="shared" si="64" ref="J256:J263">Y256*H256%*I256/G256*1000</f>
        <v>598899</v>
      </c>
      <c r="K256" s="288">
        <v>4.28</v>
      </c>
      <c r="L256" s="289">
        <f aca="true" t="shared" si="65" ref="L256:L263">(Y256*K256%)/G256*1000</f>
        <v>192728.40000000005</v>
      </c>
      <c r="M256" s="288">
        <v>5</v>
      </c>
      <c r="N256" s="289">
        <f aca="true" t="shared" si="66" ref="N256:N263">(Y256*M256%)/G256*1000</f>
        <v>225150</v>
      </c>
      <c r="O256" s="290">
        <v>33</v>
      </c>
      <c r="P256" s="291" t="s">
        <v>1590</v>
      </c>
      <c r="Q256" s="288">
        <v>1.05</v>
      </c>
      <c r="R256" s="289">
        <f aca="true" t="shared" si="67" ref="R256:R263">O256*diezel*Q256</f>
        <v>664650.063</v>
      </c>
      <c r="S256" s="292" t="s">
        <v>1600</v>
      </c>
      <c r="T256" s="296">
        <f>Nii3+Nii5</f>
        <v>296019.23076923075</v>
      </c>
      <c r="U256" s="250">
        <f>ROUND((J256+L256+N256+R256+T256),0)-1</f>
        <v>1977446</v>
      </c>
      <c r="V256" s="250">
        <v>2019735</v>
      </c>
      <c r="W256" s="250">
        <v>1977446</v>
      </c>
      <c r="X256" s="250">
        <v>1915423</v>
      </c>
      <c r="Y256" s="293">
        <v>900600</v>
      </c>
      <c r="Z256" s="294">
        <v>-1</v>
      </c>
      <c r="AA256" s="251"/>
      <c r="AB256" s="251"/>
    </row>
    <row r="257" spans="1:28" s="295" customFormat="1" ht="15.75">
      <c r="A257" s="284">
        <v>215</v>
      </c>
      <c r="B257" s="284" t="s">
        <v>3790</v>
      </c>
      <c r="C257" s="284" t="s">
        <v>1005</v>
      </c>
      <c r="D257" s="284" t="s">
        <v>217</v>
      </c>
      <c r="E257" s="285" t="s">
        <v>2616</v>
      </c>
      <c r="F257" s="286" t="s">
        <v>991</v>
      </c>
      <c r="G257" s="284">
        <v>200</v>
      </c>
      <c r="H257" s="284">
        <v>14</v>
      </c>
      <c r="I257" s="284">
        <v>0.95</v>
      </c>
      <c r="J257" s="287">
        <f t="shared" si="64"/>
        <v>734359.5000000001</v>
      </c>
      <c r="K257" s="288">
        <v>4.28</v>
      </c>
      <c r="L257" s="289">
        <f t="shared" si="65"/>
        <v>236320.20000000004</v>
      </c>
      <c r="M257" s="288">
        <v>5</v>
      </c>
      <c r="N257" s="289">
        <f t="shared" si="66"/>
        <v>276075</v>
      </c>
      <c r="O257" s="290">
        <v>36</v>
      </c>
      <c r="P257" s="291" t="s">
        <v>1590</v>
      </c>
      <c r="Q257" s="288">
        <v>1.05</v>
      </c>
      <c r="R257" s="289">
        <f t="shared" si="67"/>
        <v>725072.7960000001</v>
      </c>
      <c r="S257" s="292" t="s">
        <v>1605</v>
      </c>
      <c r="T257" s="296">
        <f>'Nhan cong'!M$42+'Nhan cong'!M$49</f>
        <v>344359.6153846154</v>
      </c>
      <c r="U257" s="250">
        <f>ROUND((J257+L257+N257+R257+T257),0)</f>
        <v>2316187</v>
      </c>
      <c r="V257" s="250">
        <v>2365381</v>
      </c>
      <c r="W257" s="250">
        <v>2316187</v>
      </c>
      <c r="X257" s="250">
        <v>2244035</v>
      </c>
      <c r="Y257" s="293">
        <v>1104300</v>
      </c>
      <c r="Z257" s="294"/>
      <c r="AA257" s="251"/>
      <c r="AB257" s="251"/>
    </row>
    <row r="258" spans="1:28" s="295" customFormat="1" ht="15.75">
      <c r="A258" s="284">
        <v>216</v>
      </c>
      <c r="B258" s="284">
        <v>0</v>
      </c>
      <c r="C258" s="284" t="s">
        <v>1006</v>
      </c>
      <c r="D258" s="284" t="s">
        <v>1511</v>
      </c>
      <c r="E258" s="285" t="s">
        <v>2617</v>
      </c>
      <c r="F258" s="286" t="s">
        <v>997</v>
      </c>
      <c r="G258" s="284">
        <v>200</v>
      </c>
      <c r="H258" s="284">
        <v>13</v>
      </c>
      <c r="I258" s="284">
        <v>0.95</v>
      </c>
      <c r="J258" s="287">
        <f t="shared" si="64"/>
        <v>1413457.5</v>
      </c>
      <c r="K258" s="288">
        <v>3.8</v>
      </c>
      <c r="L258" s="289">
        <f t="shared" si="65"/>
        <v>434910</v>
      </c>
      <c r="M258" s="288">
        <v>5</v>
      </c>
      <c r="N258" s="289">
        <f t="shared" si="66"/>
        <v>572250</v>
      </c>
      <c r="O258" s="290">
        <v>49.5</v>
      </c>
      <c r="P258" s="291" t="s">
        <v>1590</v>
      </c>
      <c r="Q258" s="288">
        <v>1.05</v>
      </c>
      <c r="R258" s="289">
        <f t="shared" si="67"/>
        <v>996975.0945</v>
      </c>
      <c r="S258" s="292" t="s">
        <v>1605</v>
      </c>
      <c r="T258" s="296">
        <f>'Nhan cong'!M$42+'Nhan cong'!M$49</f>
        <v>344359.6153846154</v>
      </c>
      <c r="U258" s="250">
        <f aca="true" t="shared" si="68" ref="U258:U263">ROUND((J258+L258+N258+R258+T258),0)</f>
        <v>3761952</v>
      </c>
      <c r="V258" s="250">
        <v>3811147</v>
      </c>
      <c r="W258" s="250">
        <v>3761952</v>
      </c>
      <c r="X258" s="250">
        <v>3689801</v>
      </c>
      <c r="Y258" s="293">
        <v>2289000</v>
      </c>
      <c r="Z258" s="294"/>
      <c r="AA258" s="251"/>
      <c r="AB258" s="251"/>
    </row>
    <row r="259" spans="1:28" s="295" customFormat="1" ht="15.75">
      <c r="A259" s="284">
        <v>217</v>
      </c>
      <c r="B259" s="284">
        <v>0</v>
      </c>
      <c r="C259" s="284" t="s">
        <v>1007</v>
      </c>
      <c r="D259" s="284" t="s">
        <v>1528</v>
      </c>
      <c r="E259" s="285" t="s">
        <v>2618</v>
      </c>
      <c r="F259" s="286" t="s">
        <v>1008</v>
      </c>
      <c r="G259" s="284">
        <v>200</v>
      </c>
      <c r="H259" s="284">
        <v>13</v>
      </c>
      <c r="I259" s="284">
        <v>0.95</v>
      </c>
      <c r="J259" s="287">
        <f t="shared" si="64"/>
        <v>1674598.2499999998</v>
      </c>
      <c r="K259" s="288">
        <v>3.8</v>
      </c>
      <c r="L259" s="289">
        <f t="shared" si="65"/>
        <v>515260.99999999994</v>
      </c>
      <c r="M259" s="288">
        <v>5</v>
      </c>
      <c r="N259" s="289">
        <f t="shared" si="66"/>
        <v>677975</v>
      </c>
      <c r="O259" s="290">
        <v>60.5</v>
      </c>
      <c r="P259" s="291" t="s">
        <v>1590</v>
      </c>
      <c r="Q259" s="288">
        <v>1.05</v>
      </c>
      <c r="R259" s="289">
        <f t="shared" si="67"/>
        <v>1218525.1154999998</v>
      </c>
      <c r="S259" s="292" t="s">
        <v>1605</v>
      </c>
      <c r="T259" s="296">
        <f>'Nhan cong'!M$42+'Nhan cong'!M$49</f>
        <v>344359.6153846154</v>
      </c>
      <c r="U259" s="250">
        <f t="shared" si="68"/>
        <v>4430719</v>
      </c>
      <c r="V259" s="250">
        <v>4479913</v>
      </c>
      <c r="W259" s="250">
        <v>4430719</v>
      </c>
      <c r="X259" s="250">
        <v>4358567</v>
      </c>
      <c r="Y259" s="293">
        <v>2711900</v>
      </c>
      <c r="Z259" s="294"/>
      <c r="AA259" s="251"/>
      <c r="AB259" s="251"/>
    </row>
    <row r="260" spans="1:28" s="295" customFormat="1" ht="15.75">
      <c r="A260" s="284">
        <v>218</v>
      </c>
      <c r="B260" s="284">
        <v>0</v>
      </c>
      <c r="C260" s="284" t="s">
        <v>1009</v>
      </c>
      <c r="D260" s="284" t="s">
        <v>1546</v>
      </c>
      <c r="E260" s="285" t="s">
        <v>2619</v>
      </c>
      <c r="F260" s="286" t="s">
        <v>1010</v>
      </c>
      <c r="G260" s="284">
        <v>200</v>
      </c>
      <c r="H260" s="284">
        <v>12</v>
      </c>
      <c r="I260" s="284">
        <v>0.95</v>
      </c>
      <c r="J260" s="287">
        <f t="shared" si="64"/>
        <v>2918685</v>
      </c>
      <c r="K260" s="288">
        <v>3.6</v>
      </c>
      <c r="L260" s="289">
        <f t="shared" si="65"/>
        <v>921690.0000000001</v>
      </c>
      <c r="M260" s="288">
        <v>5</v>
      </c>
      <c r="N260" s="289">
        <f t="shared" si="66"/>
        <v>1280125</v>
      </c>
      <c r="O260" s="290">
        <v>68.75</v>
      </c>
      <c r="P260" s="291" t="s">
        <v>1590</v>
      </c>
      <c r="Q260" s="288">
        <v>1.05</v>
      </c>
      <c r="R260" s="289">
        <f t="shared" si="67"/>
        <v>1384687.63125</v>
      </c>
      <c r="S260" s="292" t="s">
        <v>1614</v>
      </c>
      <c r="T260" s="296">
        <f>'Nhan cong'!M$42+'Nhan cong'!M$50</f>
        <v>377943.46153846156</v>
      </c>
      <c r="U260" s="250">
        <f>ROUND((J260+L260+N260+R260+T260),0)-1</f>
        <v>6883130</v>
      </c>
      <c r="V260" s="250">
        <v>6937123</v>
      </c>
      <c r="W260" s="250">
        <v>6883130</v>
      </c>
      <c r="X260" s="250">
        <v>6803943</v>
      </c>
      <c r="Y260" s="293">
        <v>5120500</v>
      </c>
      <c r="Z260" s="294"/>
      <c r="AA260" s="251"/>
      <c r="AB260" s="251"/>
    </row>
    <row r="261" spans="1:28" s="295" customFormat="1" ht="15.75">
      <c r="A261" s="284">
        <v>219</v>
      </c>
      <c r="B261" s="284">
        <v>0</v>
      </c>
      <c r="C261" s="284" t="s">
        <v>1011</v>
      </c>
      <c r="D261" s="284" t="s">
        <v>183</v>
      </c>
      <c r="E261" s="285" t="s">
        <v>2620</v>
      </c>
      <c r="F261" s="286" t="s">
        <v>1012</v>
      </c>
      <c r="G261" s="284">
        <v>200</v>
      </c>
      <c r="H261" s="284">
        <v>12</v>
      </c>
      <c r="I261" s="284">
        <v>0.95</v>
      </c>
      <c r="J261" s="287">
        <f t="shared" si="64"/>
        <v>3516045</v>
      </c>
      <c r="K261" s="288">
        <v>3.6</v>
      </c>
      <c r="L261" s="289">
        <f t="shared" si="65"/>
        <v>1110330.0000000002</v>
      </c>
      <c r="M261" s="288">
        <v>5</v>
      </c>
      <c r="N261" s="289">
        <f t="shared" si="66"/>
        <v>1542125</v>
      </c>
      <c r="O261" s="290">
        <v>74.25</v>
      </c>
      <c r="P261" s="291" t="s">
        <v>1590</v>
      </c>
      <c r="Q261" s="288">
        <v>1.05</v>
      </c>
      <c r="R261" s="289">
        <f t="shared" si="67"/>
        <v>1495462.6417500002</v>
      </c>
      <c r="S261" s="292" t="s">
        <v>1013</v>
      </c>
      <c r="T261" s="296">
        <f>'Nhan cong'!M$42*2+'Nhan cong'!M$50</f>
        <v>523917.69230769237</v>
      </c>
      <c r="U261" s="250">
        <f t="shared" si="68"/>
        <v>8187880</v>
      </c>
      <c r="V261" s="250">
        <v>8262726</v>
      </c>
      <c r="W261" s="250">
        <v>8187880</v>
      </c>
      <c r="X261" s="250">
        <v>8078107</v>
      </c>
      <c r="Y261" s="293">
        <v>6168500</v>
      </c>
      <c r="Z261" s="294"/>
      <c r="AA261" s="251"/>
      <c r="AB261" s="251"/>
    </row>
    <row r="262" spans="1:28" s="295" customFormat="1" ht="15.75">
      <c r="A262" s="284">
        <v>220</v>
      </c>
      <c r="B262" s="284">
        <v>0</v>
      </c>
      <c r="C262" s="284" t="s">
        <v>1014</v>
      </c>
      <c r="D262" s="284" t="s">
        <v>192</v>
      </c>
      <c r="E262" s="285" t="s">
        <v>2621</v>
      </c>
      <c r="F262" s="286" t="s">
        <v>1015</v>
      </c>
      <c r="G262" s="284">
        <v>200</v>
      </c>
      <c r="H262" s="284">
        <v>12</v>
      </c>
      <c r="I262" s="284">
        <v>0.95</v>
      </c>
      <c r="J262" s="287">
        <f t="shared" si="64"/>
        <v>4442808</v>
      </c>
      <c r="K262" s="288">
        <v>3.36</v>
      </c>
      <c r="L262" s="289">
        <f t="shared" si="65"/>
        <v>1309459.2</v>
      </c>
      <c r="M262" s="288">
        <v>5</v>
      </c>
      <c r="N262" s="289">
        <f t="shared" si="66"/>
        <v>1948600</v>
      </c>
      <c r="O262" s="290">
        <v>77.5</v>
      </c>
      <c r="P262" s="291" t="s">
        <v>1590</v>
      </c>
      <c r="Q262" s="288">
        <v>1.05</v>
      </c>
      <c r="R262" s="289">
        <f t="shared" si="67"/>
        <v>1560920.6025</v>
      </c>
      <c r="S262" s="292" t="s">
        <v>1013</v>
      </c>
      <c r="T262" s="296">
        <f>'Nhan cong'!M$42*2+'Nhan cong'!M$50</f>
        <v>523917.69230769237</v>
      </c>
      <c r="U262" s="250">
        <f t="shared" si="68"/>
        <v>9785705</v>
      </c>
      <c r="V262" s="250">
        <v>9860551</v>
      </c>
      <c r="W262" s="250">
        <v>9785705</v>
      </c>
      <c r="X262" s="250">
        <v>9675932</v>
      </c>
      <c r="Y262" s="293">
        <v>7794400</v>
      </c>
      <c r="Z262" s="294"/>
      <c r="AA262" s="251"/>
      <c r="AB262" s="251"/>
    </row>
    <row r="263" spans="1:28" s="295" customFormat="1" ht="15.75">
      <c r="A263" s="284">
        <v>221</v>
      </c>
      <c r="B263" s="284">
        <v>0</v>
      </c>
      <c r="C263" s="284" t="s">
        <v>1016</v>
      </c>
      <c r="D263" s="284" t="s">
        <v>196</v>
      </c>
      <c r="E263" s="285" t="s">
        <v>2622</v>
      </c>
      <c r="F263" s="286" t="s">
        <v>1017</v>
      </c>
      <c r="G263" s="284">
        <v>200</v>
      </c>
      <c r="H263" s="284">
        <v>12</v>
      </c>
      <c r="I263" s="284">
        <v>0.95</v>
      </c>
      <c r="J263" s="287">
        <f t="shared" si="64"/>
        <v>5304705</v>
      </c>
      <c r="K263" s="288">
        <v>3.36</v>
      </c>
      <c r="L263" s="289">
        <f t="shared" si="65"/>
        <v>1563491.9999999998</v>
      </c>
      <c r="M263" s="288">
        <v>5</v>
      </c>
      <c r="N263" s="289">
        <f t="shared" si="66"/>
        <v>2326625</v>
      </c>
      <c r="O263" s="290">
        <v>81</v>
      </c>
      <c r="P263" s="291" t="s">
        <v>1590</v>
      </c>
      <c r="Q263" s="288">
        <v>1.05</v>
      </c>
      <c r="R263" s="289">
        <f t="shared" si="67"/>
        <v>1631413.791</v>
      </c>
      <c r="S263" s="292" t="s">
        <v>1013</v>
      </c>
      <c r="T263" s="296">
        <f>'Nhan cong'!M$42*2+'Nhan cong'!M$50</f>
        <v>523917.69230769237</v>
      </c>
      <c r="U263" s="250">
        <f t="shared" si="68"/>
        <v>11350153</v>
      </c>
      <c r="V263" s="250">
        <v>11424999</v>
      </c>
      <c r="W263" s="250">
        <v>11350153</v>
      </c>
      <c r="X263" s="250">
        <v>11240380</v>
      </c>
      <c r="Y263" s="293">
        <v>9306500</v>
      </c>
      <c r="Z263" s="294"/>
      <c r="AA263" s="251"/>
      <c r="AB263" s="251"/>
    </row>
    <row r="264" spans="1:28" s="295" customFormat="1" ht="15.75">
      <c r="A264" s="297"/>
      <c r="B264" s="284"/>
      <c r="C264" s="298"/>
      <c r="D264" s="284"/>
      <c r="E264" s="272"/>
      <c r="F264" s="151" t="s">
        <v>1018</v>
      </c>
      <c r="G264" s="284"/>
      <c r="H264" s="284"/>
      <c r="I264" s="284"/>
      <c r="J264" s="299"/>
      <c r="K264" s="288"/>
      <c r="L264" s="289"/>
      <c r="M264" s="288"/>
      <c r="N264" s="300"/>
      <c r="O264" s="290"/>
      <c r="P264" s="291"/>
      <c r="Q264" s="288"/>
      <c r="R264" s="300"/>
      <c r="S264" s="292"/>
      <c r="T264" s="296"/>
      <c r="U264" s="250"/>
      <c r="V264" s="250"/>
      <c r="W264" s="250"/>
      <c r="X264" s="250"/>
      <c r="Y264" s="293"/>
      <c r="Z264" s="385"/>
      <c r="AA264" s="251"/>
      <c r="AB264" s="251"/>
    </row>
    <row r="265" spans="1:28" s="295" customFormat="1" ht="15.75">
      <c r="A265" s="284">
        <v>222</v>
      </c>
      <c r="B265" s="284">
        <v>0</v>
      </c>
      <c r="C265" s="284" t="s">
        <v>1019</v>
      </c>
      <c r="D265" s="284" t="s">
        <v>430</v>
      </c>
      <c r="E265" s="285" t="s">
        <v>2623</v>
      </c>
      <c r="F265" s="286" t="s">
        <v>857</v>
      </c>
      <c r="G265" s="284">
        <v>200</v>
      </c>
      <c r="H265" s="284">
        <v>16</v>
      </c>
      <c r="I265" s="284">
        <v>0.95</v>
      </c>
      <c r="J265" s="287">
        <f aca="true" t="shared" si="69" ref="J265:J277">Y265*H265%*I265/G265*1000</f>
        <v>535952</v>
      </c>
      <c r="K265" s="288">
        <v>5.04</v>
      </c>
      <c r="L265" s="289">
        <f aca="true" t="shared" si="70" ref="L265:L277">(Y265*K265%)/G265*1000</f>
        <v>177710.40000000002</v>
      </c>
      <c r="M265" s="288">
        <v>5</v>
      </c>
      <c r="N265" s="289">
        <f aca="true" t="shared" si="71" ref="N265:N277">(Y265*M265%)/G265*1000</f>
        <v>176300</v>
      </c>
      <c r="O265" s="290">
        <v>31.5</v>
      </c>
      <c r="P265" s="291" t="s">
        <v>1590</v>
      </c>
      <c r="Q265" s="288">
        <v>1.05</v>
      </c>
      <c r="R265" s="289">
        <f aca="true" t="shared" si="72" ref="R265:R277">O265*diezel*Q265</f>
        <v>634438.6965</v>
      </c>
      <c r="S265" s="292" t="s">
        <v>1600</v>
      </c>
      <c r="T265" s="296">
        <f>'Nhan cong'!M$38+'Nhan cong'!M$46</f>
        <v>296019.23076923075</v>
      </c>
      <c r="U265" s="250">
        <f aca="true" t="shared" si="73" ref="U265:U276">ROUND((J265+L265+N265+R265+T265),0)</f>
        <v>1820420</v>
      </c>
      <c r="V265" s="250">
        <v>1862709</v>
      </c>
      <c r="W265" s="250">
        <v>1820420</v>
      </c>
      <c r="X265" s="250">
        <v>1758397</v>
      </c>
      <c r="Y265" s="293">
        <v>705200</v>
      </c>
      <c r="Z265" s="294"/>
      <c r="AA265" s="251"/>
      <c r="AB265" s="251"/>
    </row>
    <row r="266" spans="1:28" s="295" customFormat="1" ht="15.75">
      <c r="A266" s="284">
        <v>223</v>
      </c>
      <c r="B266" s="284">
        <v>0</v>
      </c>
      <c r="C266" s="284" t="s">
        <v>1020</v>
      </c>
      <c r="D266" s="284" t="s">
        <v>876</v>
      </c>
      <c r="E266" s="285" t="s">
        <v>2624</v>
      </c>
      <c r="F266" s="286" t="s">
        <v>1791</v>
      </c>
      <c r="G266" s="284">
        <v>200</v>
      </c>
      <c r="H266" s="284">
        <v>14</v>
      </c>
      <c r="I266" s="284">
        <v>0.95</v>
      </c>
      <c r="J266" s="287">
        <f t="shared" si="69"/>
        <v>576023</v>
      </c>
      <c r="K266" s="288">
        <v>4.56</v>
      </c>
      <c r="L266" s="289">
        <f t="shared" si="70"/>
        <v>197493.59999999995</v>
      </c>
      <c r="M266" s="288">
        <v>5</v>
      </c>
      <c r="N266" s="289">
        <f t="shared" si="71"/>
        <v>216550</v>
      </c>
      <c r="O266" s="290">
        <v>33</v>
      </c>
      <c r="P266" s="291" t="s">
        <v>1590</v>
      </c>
      <c r="Q266" s="288">
        <v>1.05</v>
      </c>
      <c r="R266" s="289">
        <f t="shared" si="72"/>
        <v>664650.063</v>
      </c>
      <c r="S266" s="292" t="s">
        <v>1600</v>
      </c>
      <c r="T266" s="296">
        <f>'Nhan cong'!M$38+'Nhan cong'!M$46</f>
        <v>296019.23076923075</v>
      </c>
      <c r="U266" s="250">
        <f>ROUND((J266+L266+N266+R266+T266),0)-1</f>
        <v>1950735</v>
      </c>
      <c r="V266" s="250">
        <v>1993025</v>
      </c>
      <c r="W266" s="250">
        <v>1950735</v>
      </c>
      <c r="X266" s="250">
        <v>1888713</v>
      </c>
      <c r="Y266" s="293">
        <v>866200</v>
      </c>
      <c r="Z266" s="294">
        <v>-1</v>
      </c>
      <c r="AA266" s="251"/>
      <c r="AB266" s="251"/>
    </row>
    <row r="267" spans="1:28" s="295" customFormat="1" ht="15.75">
      <c r="A267" s="284">
        <v>224</v>
      </c>
      <c r="B267" s="284" t="s">
        <v>3791</v>
      </c>
      <c r="C267" s="284" t="s">
        <v>1021</v>
      </c>
      <c r="D267" s="284" t="s">
        <v>1555</v>
      </c>
      <c r="E267" s="285" t="s">
        <v>87</v>
      </c>
      <c r="F267" s="286" t="s">
        <v>1793</v>
      </c>
      <c r="G267" s="284">
        <v>200</v>
      </c>
      <c r="H267" s="284">
        <v>14</v>
      </c>
      <c r="I267" s="284">
        <v>0.95</v>
      </c>
      <c r="J267" s="287">
        <f t="shared" si="69"/>
        <v>629555.4999999999</v>
      </c>
      <c r="K267" s="288">
        <v>4.28</v>
      </c>
      <c r="L267" s="289">
        <f t="shared" si="70"/>
        <v>202593.80000000002</v>
      </c>
      <c r="M267" s="288">
        <v>5</v>
      </c>
      <c r="N267" s="289">
        <f t="shared" si="71"/>
        <v>236675</v>
      </c>
      <c r="O267" s="290">
        <v>36</v>
      </c>
      <c r="P267" s="291" t="s">
        <v>1590</v>
      </c>
      <c r="Q267" s="288">
        <v>1.05</v>
      </c>
      <c r="R267" s="289">
        <f t="shared" si="72"/>
        <v>725072.7960000001</v>
      </c>
      <c r="S267" s="292" t="s">
        <v>1600</v>
      </c>
      <c r="T267" s="296">
        <f>'Nhan cong'!M$38+'Nhan cong'!M$46</f>
        <v>296019.23076923075</v>
      </c>
      <c r="U267" s="250">
        <f t="shared" si="73"/>
        <v>2089916</v>
      </c>
      <c r="V267" s="250">
        <v>2132205</v>
      </c>
      <c r="W267" s="250">
        <v>2089916</v>
      </c>
      <c r="X267" s="250">
        <v>2027893</v>
      </c>
      <c r="Y267" s="293">
        <v>946700</v>
      </c>
      <c r="Z267" s="294"/>
      <c r="AA267" s="251"/>
      <c r="AB267" s="251"/>
    </row>
    <row r="268" spans="1:28" s="295" customFormat="1" ht="15.75">
      <c r="A268" s="284">
        <v>225</v>
      </c>
      <c r="B268" s="284" t="s">
        <v>3792</v>
      </c>
      <c r="C268" s="284" t="s">
        <v>1022</v>
      </c>
      <c r="D268" s="284" t="s">
        <v>394</v>
      </c>
      <c r="E268" s="285" t="s">
        <v>2625</v>
      </c>
      <c r="F268" s="286" t="s">
        <v>986</v>
      </c>
      <c r="G268" s="284">
        <v>200</v>
      </c>
      <c r="H268" s="284">
        <v>14</v>
      </c>
      <c r="I268" s="284">
        <v>0.95</v>
      </c>
      <c r="J268" s="287">
        <f t="shared" si="69"/>
        <v>818548.5000000001</v>
      </c>
      <c r="K268" s="288">
        <v>4.28</v>
      </c>
      <c r="L268" s="289">
        <f t="shared" si="70"/>
        <v>263412.6</v>
      </c>
      <c r="M268" s="288">
        <v>5</v>
      </c>
      <c r="N268" s="289">
        <f t="shared" si="71"/>
        <v>307725</v>
      </c>
      <c r="O268" s="290">
        <v>45</v>
      </c>
      <c r="P268" s="291" t="s">
        <v>1590</v>
      </c>
      <c r="Q268" s="288">
        <v>1.05</v>
      </c>
      <c r="R268" s="289">
        <f t="shared" si="72"/>
        <v>906340.9950000001</v>
      </c>
      <c r="S268" s="292" t="s">
        <v>1600</v>
      </c>
      <c r="T268" s="296">
        <f>'Nhan cong'!M$38+'Nhan cong'!M$46</f>
        <v>296019.23076923075</v>
      </c>
      <c r="U268" s="250">
        <f t="shared" si="73"/>
        <v>2592046</v>
      </c>
      <c r="V268" s="250">
        <v>2634335</v>
      </c>
      <c r="W268" s="250">
        <v>2592046</v>
      </c>
      <c r="X268" s="250">
        <v>2530023</v>
      </c>
      <c r="Y268" s="293">
        <v>1230900</v>
      </c>
      <c r="Z268" s="294"/>
      <c r="AA268" s="251"/>
      <c r="AB268" s="251"/>
    </row>
    <row r="269" spans="1:28" s="295" customFormat="1" ht="15.75">
      <c r="A269" s="284">
        <v>226</v>
      </c>
      <c r="B269" s="284" t="s">
        <v>3793</v>
      </c>
      <c r="C269" s="284" t="s">
        <v>1023</v>
      </c>
      <c r="D269" s="284" t="s">
        <v>406</v>
      </c>
      <c r="E269" s="285" t="s">
        <v>2626</v>
      </c>
      <c r="F269" s="286" t="s">
        <v>991</v>
      </c>
      <c r="G269" s="284">
        <v>200</v>
      </c>
      <c r="H269" s="284">
        <v>14</v>
      </c>
      <c r="I269" s="284">
        <v>0.95</v>
      </c>
      <c r="J269" s="287">
        <f t="shared" si="69"/>
        <v>1099976.5</v>
      </c>
      <c r="K269" s="288">
        <v>4.28</v>
      </c>
      <c r="L269" s="289">
        <f t="shared" si="70"/>
        <v>353977.4</v>
      </c>
      <c r="M269" s="288">
        <v>5</v>
      </c>
      <c r="N269" s="289">
        <f t="shared" si="71"/>
        <v>413525</v>
      </c>
      <c r="O269" s="290">
        <v>47</v>
      </c>
      <c r="P269" s="291" t="s">
        <v>1590</v>
      </c>
      <c r="Q269" s="288">
        <v>1.05</v>
      </c>
      <c r="R269" s="289">
        <f t="shared" si="72"/>
        <v>946622.817</v>
      </c>
      <c r="S269" s="292" t="s">
        <v>1605</v>
      </c>
      <c r="T269" s="296">
        <f>'Nhan cong'!M$42+'Nhan cong'!M$49</f>
        <v>344359.6153846154</v>
      </c>
      <c r="U269" s="250">
        <f t="shared" si="73"/>
        <v>3158461</v>
      </c>
      <c r="V269" s="250">
        <v>3207656</v>
      </c>
      <c r="W269" s="250">
        <v>3158461</v>
      </c>
      <c r="X269" s="250">
        <v>3086310</v>
      </c>
      <c r="Y269" s="293">
        <v>1654100</v>
      </c>
      <c r="Z269" s="294"/>
      <c r="AA269" s="251"/>
      <c r="AB269" s="251"/>
    </row>
    <row r="270" spans="1:28" s="295" customFormat="1" ht="15.75">
      <c r="A270" s="284">
        <v>227</v>
      </c>
      <c r="B270" s="284" t="s">
        <v>3794</v>
      </c>
      <c r="C270" s="284" t="s">
        <v>1024</v>
      </c>
      <c r="D270" s="284" t="s">
        <v>410</v>
      </c>
      <c r="E270" s="285" t="s">
        <v>2627</v>
      </c>
      <c r="F270" s="286" t="s">
        <v>1025</v>
      </c>
      <c r="G270" s="284">
        <v>200</v>
      </c>
      <c r="H270" s="284">
        <v>14</v>
      </c>
      <c r="I270" s="284">
        <v>0.95</v>
      </c>
      <c r="J270" s="287">
        <f t="shared" si="69"/>
        <v>1313109</v>
      </c>
      <c r="K270" s="288">
        <v>4.28</v>
      </c>
      <c r="L270" s="289">
        <f t="shared" si="70"/>
        <v>422564.4</v>
      </c>
      <c r="M270" s="288">
        <v>5</v>
      </c>
      <c r="N270" s="289">
        <f t="shared" si="71"/>
        <v>493650</v>
      </c>
      <c r="O270" s="290">
        <v>48.75</v>
      </c>
      <c r="P270" s="291" t="s">
        <v>1590</v>
      </c>
      <c r="Q270" s="288">
        <v>1.05</v>
      </c>
      <c r="R270" s="289">
        <f t="shared" si="72"/>
        <v>981869.41125</v>
      </c>
      <c r="S270" s="292" t="s">
        <v>1605</v>
      </c>
      <c r="T270" s="296">
        <f>'Nhan cong'!M$42+'Nhan cong'!M$49</f>
        <v>344359.6153846154</v>
      </c>
      <c r="U270" s="250">
        <f t="shared" si="73"/>
        <v>3555552</v>
      </c>
      <c r="V270" s="250">
        <v>3604747</v>
      </c>
      <c r="W270" s="250">
        <v>3555552</v>
      </c>
      <c r="X270" s="250">
        <v>3483401</v>
      </c>
      <c r="Y270" s="293">
        <v>1974600</v>
      </c>
      <c r="Z270" s="294"/>
      <c r="AA270" s="251"/>
      <c r="AB270" s="251"/>
    </row>
    <row r="271" spans="1:28" s="295" customFormat="1" ht="15.75">
      <c r="A271" s="284">
        <v>228</v>
      </c>
      <c r="B271" s="284" t="s">
        <v>3795</v>
      </c>
      <c r="C271" s="284" t="s">
        <v>1026</v>
      </c>
      <c r="D271" s="284" t="s">
        <v>418</v>
      </c>
      <c r="E271" s="285" t="s">
        <v>2628</v>
      </c>
      <c r="F271" s="286" t="s">
        <v>997</v>
      </c>
      <c r="G271" s="284">
        <v>200</v>
      </c>
      <c r="H271" s="284">
        <v>13</v>
      </c>
      <c r="I271" s="284">
        <v>0.95</v>
      </c>
      <c r="J271" s="287">
        <f t="shared" si="69"/>
        <v>1865096.9999999998</v>
      </c>
      <c r="K271" s="288">
        <v>3.8</v>
      </c>
      <c r="L271" s="289">
        <f t="shared" si="70"/>
        <v>573876</v>
      </c>
      <c r="M271" s="288">
        <v>5</v>
      </c>
      <c r="N271" s="289">
        <f t="shared" si="71"/>
        <v>755100</v>
      </c>
      <c r="O271" s="290">
        <v>51.25</v>
      </c>
      <c r="P271" s="291" t="s">
        <v>1590</v>
      </c>
      <c r="Q271" s="288">
        <v>1.05</v>
      </c>
      <c r="R271" s="289">
        <f t="shared" si="72"/>
        <v>1032221.6887500001</v>
      </c>
      <c r="S271" s="292" t="s">
        <v>1605</v>
      </c>
      <c r="T271" s="296">
        <f>'Nhan cong'!M$42+'Nhan cong'!M$49</f>
        <v>344359.6153846154</v>
      </c>
      <c r="U271" s="250">
        <f t="shared" si="73"/>
        <v>4570654</v>
      </c>
      <c r="V271" s="250">
        <v>4619849</v>
      </c>
      <c r="W271" s="250">
        <v>4570654</v>
      </c>
      <c r="X271" s="250">
        <v>4498503</v>
      </c>
      <c r="Y271" s="293">
        <v>3020400</v>
      </c>
      <c r="Z271" s="294"/>
      <c r="AA271" s="251"/>
      <c r="AB271" s="251"/>
    </row>
    <row r="272" spans="1:28" s="295" customFormat="1" ht="15.75">
      <c r="A272" s="284">
        <v>229</v>
      </c>
      <c r="B272" s="284">
        <v>0</v>
      </c>
      <c r="C272" s="284" t="s">
        <v>1027</v>
      </c>
      <c r="D272" s="284" t="s">
        <v>426</v>
      </c>
      <c r="E272" s="285" t="s">
        <v>2629</v>
      </c>
      <c r="F272" s="286" t="s">
        <v>1002</v>
      </c>
      <c r="G272" s="284">
        <v>200</v>
      </c>
      <c r="H272" s="284">
        <v>13</v>
      </c>
      <c r="I272" s="284">
        <v>0.95</v>
      </c>
      <c r="J272" s="287">
        <f t="shared" si="69"/>
        <v>2056830.7499999995</v>
      </c>
      <c r="K272" s="288">
        <v>3.8</v>
      </c>
      <c r="L272" s="289">
        <f t="shared" si="70"/>
        <v>632871</v>
      </c>
      <c r="M272" s="288">
        <v>5</v>
      </c>
      <c r="N272" s="289">
        <f t="shared" si="71"/>
        <v>832725</v>
      </c>
      <c r="O272" s="290">
        <v>53.75</v>
      </c>
      <c r="P272" s="291" t="s">
        <v>1590</v>
      </c>
      <c r="Q272" s="288">
        <v>1.05</v>
      </c>
      <c r="R272" s="289">
        <f t="shared" si="72"/>
        <v>1082573.96625</v>
      </c>
      <c r="S272" s="292" t="s">
        <v>1605</v>
      </c>
      <c r="T272" s="296">
        <f>'Nhan cong'!M$42+'Nhan cong'!M$49</f>
        <v>344359.6153846154</v>
      </c>
      <c r="U272" s="250">
        <f t="shared" si="73"/>
        <v>4949360</v>
      </c>
      <c r="V272" s="250">
        <v>4998555</v>
      </c>
      <c r="W272" s="250">
        <v>4949360</v>
      </c>
      <c r="X272" s="250">
        <v>4877209</v>
      </c>
      <c r="Y272" s="293">
        <v>3330900</v>
      </c>
      <c r="Z272" s="294"/>
      <c r="AA272" s="251"/>
      <c r="AB272" s="251"/>
    </row>
    <row r="273" spans="1:28" s="295" customFormat="1" ht="15.75">
      <c r="A273" s="284">
        <v>230</v>
      </c>
      <c r="B273" s="284" t="s">
        <v>3796</v>
      </c>
      <c r="C273" s="284" t="s">
        <v>1028</v>
      </c>
      <c r="D273" s="284" t="s">
        <v>872</v>
      </c>
      <c r="E273" s="285" t="s">
        <v>2630</v>
      </c>
      <c r="F273" s="286" t="s">
        <v>1008</v>
      </c>
      <c r="G273" s="284">
        <v>200</v>
      </c>
      <c r="H273" s="284">
        <v>13</v>
      </c>
      <c r="I273" s="284">
        <v>0.95</v>
      </c>
      <c r="J273" s="287">
        <f t="shared" si="69"/>
        <v>2506247.25</v>
      </c>
      <c r="K273" s="288">
        <v>3.8</v>
      </c>
      <c r="L273" s="289">
        <f t="shared" si="70"/>
        <v>771153</v>
      </c>
      <c r="M273" s="288">
        <v>5</v>
      </c>
      <c r="N273" s="289">
        <f t="shared" si="71"/>
        <v>1014675</v>
      </c>
      <c r="O273" s="290">
        <v>56.25</v>
      </c>
      <c r="P273" s="291" t="s">
        <v>1590</v>
      </c>
      <c r="Q273" s="288">
        <v>1.05</v>
      </c>
      <c r="R273" s="289">
        <f t="shared" si="72"/>
        <v>1132926.2437500001</v>
      </c>
      <c r="S273" s="292" t="s">
        <v>1614</v>
      </c>
      <c r="T273" s="296">
        <f>'Nhan cong'!M$42+'Nhan cong'!M$50</f>
        <v>377943.46153846156</v>
      </c>
      <c r="U273" s="250">
        <f>ROUND((J273+L273+N273+R273+T273),0)-1</f>
        <v>5802944</v>
      </c>
      <c r="V273" s="250">
        <v>5856936</v>
      </c>
      <c r="W273" s="250">
        <v>5802944</v>
      </c>
      <c r="X273" s="250">
        <v>5723756</v>
      </c>
      <c r="Y273" s="293">
        <v>4058700</v>
      </c>
      <c r="Z273" s="294">
        <v>-1</v>
      </c>
      <c r="AA273" s="251"/>
      <c r="AB273" s="251"/>
    </row>
    <row r="274" spans="1:28" s="295" customFormat="1" ht="15.75">
      <c r="A274" s="284">
        <v>231</v>
      </c>
      <c r="B274" s="284">
        <v>0</v>
      </c>
      <c r="C274" s="284" t="s">
        <v>1029</v>
      </c>
      <c r="D274" s="284" t="s">
        <v>1551</v>
      </c>
      <c r="E274" s="285" t="s">
        <v>2631</v>
      </c>
      <c r="F274" s="286" t="s">
        <v>1012</v>
      </c>
      <c r="G274" s="284">
        <v>200</v>
      </c>
      <c r="H274" s="284">
        <v>12</v>
      </c>
      <c r="I274" s="284">
        <v>0.95</v>
      </c>
      <c r="J274" s="287">
        <f t="shared" si="69"/>
        <v>3482301</v>
      </c>
      <c r="K274" s="288">
        <v>3.6</v>
      </c>
      <c r="L274" s="289">
        <f t="shared" si="70"/>
        <v>1099674</v>
      </c>
      <c r="M274" s="288">
        <v>5</v>
      </c>
      <c r="N274" s="289">
        <f t="shared" si="71"/>
        <v>1527325</v>
      </c>
      <c r="O274" s="290">
        <v>58.95</v>
      </c>
      <c r="P274" s="291" t="s">
        <v>1590</v>
      </c>
      <c r="Q274" s="288">
        <v>1.05</v>
      </c>
      <c r="R274" s="289">
        <f t="shared" si="72"/>
        <v>1187306.7034500001</v>
      </c>
      <c r="S274" s="292" t="s">
        <v>1013</v>
      </c>
      <c r="T274" s="296">
        <f>'Nhan cong'!M$42*2+'Nhan cong'!M$50</f>
        <v>523917.69230769237</v>
      </c>
      <c r="U274" s="250">
        <f t="shared" si="73"/>
        <v>7820524</v>
      </c>
      <c r="V274" s="250">
        <v>7895370</v>
      </c>
      <c r="W274" s="250">
        <v>7820524</v>
      </c>
      <c r="X274" s="250">
        <v>7710751</v>
      </c>
      <c r="Y274" s="293">
        <v>6109300</v>
      </c>
      <c r="Z274" s="294"/>
      <c r="AA274" s="251"/>
      <c r="AB274" s="251"/>
    </row>
    <row r="275" spans="1:28" s="295" customFormat="1" ht="15.75">
      <c r="A275" s="284">
        <v>232</v>
      </c>
      <c r="B275" s="284">
        <v>0</v>
      </c>
      <c r="C275" s="284" t="s">
        <v>1030</v>
      </c>
      <c r="D275" s="284" t="s">
        <v>1560</v>
      </c>
      <c r="E275" s="285" t="s">
        <v>88</v>
      </c>
      <c r="F275" s="286" t="s">
        <v>1015</v>
      </c>
      <c r="G275" s="284">
        <v>200</v>
      </c>
      <c r="H275" s="284">
        <v>12</v>
      </c>
      <c r="I275" s="284">
        <v>0.95</v>
      </c>
      <c r="J275" s="287">
        <f t="shared" si="69"/>
        <v>4055435.9999999995</v>
      </c>
      <c r="K275" s="288">
        <v>3.36</v>
      </c>
      <c r="L275" s="289">
        <f t="shared" si="70"/>
        <v>1195286.4</v>
      </c>
      <c r="M275" s="288">
        <v>5</v>
      </c>
      <c r="N275" s="289">
        <f t="shared" si="71"/>
        <v>1778700</v>
      </c>
      <c r="O275" s="290">
        <v>62.775</v>
      </c>
      <c r="P275" s="291" t="s">
        <v>1590</v>
      </c>
      <c r="Q275" s="288">
        <v>1.05</v>
      </c>
      <c r="R275" s="289">
        <f t="shared" si="72"/>
        <v>1264345.6880249998</v>
      </c>
      <c r="S275" s="292" t="s">
        <v>1013</v>
      </c>
      <c r="T275" s="296">
        <f>'Nhan cong'!M$42*2+'Nhan cong'!M$50</f>
        <v>523917.69230769237</v>
      </c>
      <c r="U275" s="250">
        <f>ROUND((J275+L275+N275+R275+T275),0)+99</f>
        <v>8817785</v>
      </c>
      <c r="V275" s="250">
        <v>8892531</v>
      </c>
      <c r="W275" s="250">
        <v>8817785</v>
      </c>
      <c r="X275" s="250">
        <v>8708013</v>
      </c>
      <c r="Y275" s="293">
        <v>7114800</v>
      </c>
      <c r="Z275" s="294">
        <v>99</v>
      </c>
      <c r="AA275" s="251">
        <v>8708013</v>
      </c>
      <c r="AB275" s="251"/>
    </row>
    <row r="276" spans="1:28" s="295" customFormat="1" ht="15.75">
      <c r="A276" s="284">
        <v>233</v>
      </c>
      <c r="B276" s="284">
        <v>0</v>
      </c>
      <c r="C276" s="284" t="s">
        <v>1031</v>
      </c>
      <c r="D276" s="284" t="s">
        <v>386</v>
      </c>
      <c r="E276" s="285" t="s">
        <v>2632</v>
      </c>
      <c r="F276" s="286" t="s">
        <v>1017</v>
      </c>
      <c r="G276" s="284">
        <v>200</v>
      </c>
      <c r="H276" s="284">
        <v>12</v>
      </c>
      <c r="I276" s="284">
        <v>0.95</v>
      </c>
      <c r="J276" s="287">
        <f t="shared" si="69"/>
        <v>5699259</v>
      </c>
      <c r="K276" s="288">
        <v>3.36</v>
      </c>
      <c r="L276" s="289">
        <f t="shared" si="70"/>
        <v>1679781.6</v>
      </c>
      <c r="M276" s="288">
        <v>5</v>
      </c>
      <c r="N276" s="289">
        <f t="shared" si="71"/>
        <v>2499675</v>
      </c>
      <c r="O276" s="290">
        <v>72</v>
      </c>
      <c r="P276" s="291" t="s">
        <v>1590</v>
      </c>
      <c r="Q276" s="288">
        <v>1.05</v>
      </c>
      <c r="R276" s="289">
        <f t="shared" si="72"/>
        <v>1450145.5920000002</v>
      </c>
      <c r="S276" s="292" t="s">
        <v>1013</v>
      </c>
      <c r="T276" s="296">
        <f>'Nhan cong'!M$42*2+'Nhan cong'!M$50</f>
        <v>523917.69230769237</v>
      </c>
      <c r="U276" s="250">
        <f t="shared" si="73"/>
        <v>11852779</v>
      </c>
      <c r="V276" s="250">
        <v>12227584</v>
      </c>
      <c r="W276" s="250">
        <v>12152739</v>
      </c>
      <c r="X276" s="250">
        <v>12042965</v>
      </c>
      <c r="Y276" s="293">
        <v>9998700</v>
      </c>
      <c r="Z276" s="294"/>
      <c r="AA276" s="251">
        <v>12152739</v>
      </c>
      <c r="AB276" s="251"/>
    </row>
    <row r="277" spans="1:28" s="295" customFormat="1" ht="15.75">
      <c r="A277" s="284">
        <v>234</v>
      </c>
      <c r="B277" s="284">
        <v>0</v>
      </c>
      <c r="C277" s="284" t="s">
        <v>1032</v>
      </c>
      <c r="D277" s="284" t="s">
        <v>390</v>
      </c>
      <c r="E277" s="285" t="s">
        <v>2633</v>
      </c>
      <c r="F277" s="286" t="s">
        <v>1033</v>
      </c>
      <c r="G277" s="284">
        <v>200</v>
      </c>
      <c r="H277" s="284">
        <v>12</v>
      </c>
      <c r="I277" s="284">
        <v>0.95</v>
      </c>
      <c r="J277" s="287">
        <f t="shared" si="69"/>
        <v>6358920</v>
      </c>
      <c r="K277" s="288">
        <v>3.36</v>
      </c>
      <c r="L277" s="289">
        <f t="shared" si="70"/>
        <v>1874207.9999999998</v>
      </c>
      <c r="M277" s="288">
        <v>5</v>
      </c>
      <c r="N277" s="289">
        <f t="shared" si="71"/>
        <v>2789000</v>
      </c>
      <c r="O277" s="290">
        <v>83.25</v>
      </c>
      <c r="P277" s="291" t="s">
        <v>1590</v>
      </c>
      <c r="Q277" s="288">
        <v>1.05</v>
      </c>
      <c r="R277" s="289">
        <f t="shared" si="72"/>
        <v>1676730.84075</v>
      </c>
      <c r="S277" s="292" t="s">
        <v>1013</v>
      </c>
      <c r="T277" s="296">
        <f>'Nhan cong'!M$42*2+'Nhan cong'!M$50</f>
        <v>523917.69230769237</v>
      </c>
      <c r="U277" s="250">
        <f>ROUND((J277+L277+N277+R277+T277),0)-1</f>
        <v>13222776</v>
      </c>
      <c r="V277" s="250">
        <v>13297622</v>
      </c>
      <c r="W277" s="250">
        <v>13222776</v>
      </c>
      <c r="X277" s="250">
        <v>13113003</v>
      </c>
      <c r="Y277" s="293">
        <v>11156000</v>
      </c>
      <c r="Z277" s="294"/>
      <c r="AA277" s="251"/>
      <c r="AB277" s="251"/>
    </row>
    <row r="278" spans="1:28" s="295" customFormat="1" ht="15.75">
      <c r="A278" s="297"/>
      <c r="B278" s="284"/>
      <c r="C278" s="298"/>
      <c r="D278" s="284"/>
      <c r="E278" s="272"/>
      <c r="F278" s="151" t="s">
        <v>1034</v>
      </c>
      <c r="G278" s="284"/>
      <c r="H278" s="284"/>
      <c r="I278" s="284"/>
      <c r="J278" s="299"/>
      <c r="K278" s="288"/>
      <c r="L278" s="289"/>
      <c r="M278" s="288"/>
      <c r="N278" s="300"/>
      <c r="O278" s="290"/>
      <c r="P278" s="291"/>
      <c r="Q278" s="288"/>
      <c r="R278" s="300"/>
      <c r="S278" s="292"/>
      <c r="T278" s="296"/>
      <c r="U278" s="250"/>
      <c r="V278" s="250"/>
      <c r="W278" s="250"/>
      <c r="X278" s="250"/>
      <c r="Y278" s="293"/>
      <c r="Z278" s="385"/>
      <c r="AA278" s="251"/>
      <c r="AB278" s="251"/>
    </row>
    <row r="279" spans="1:28" s="295" customFormat="1" ht="15.75">
      <c r="A279" s="284">
        <v>235</v>
      </c>
      <c r="B279" s="284">
        <v>0</v>
      </c>
      <c r="C279" s="284" t="s">
        <v>1035</v>
      </c>
      <c r="D279" s="284" t="s">
        <v>484</v>
      </c>
      <c r="E279" s="285" t="s">
        <v>2634</v>
      </c>
      <c r="F279" s="286" t="s">
        <v>979</v>
      </c>
      <c r="G279" s="284">
        <v>280</v>
      </c>
      <c r="H279" s="284">
        <v>16</v>
      </c>
      <c r="I279" s="284">
        <v>0.95</v>
      </c>
      <c r="J279" s="287">
        <f aca="true" t="shared" si="74" ref="J279:J291">Y279*H279%*I279/G279*1000</f>
        <v>302697.14285714284</v>
      </c>
      <c r="K279" s="288">
        <v>4.72</v>
      </c>
      <c r="L279" s="289">
        <f aca="true" t="shared" si="75" ref="L279:L291">(Y279*K279%)/G279*1000</f>
        <v>93995.42857142858</v>
      </c>
      <c r="M279" s="288">
        <v>6</v>
      </c>
      <c r="N279" s="289">
        <f aca="true" t="shared" si="76" ref="N279:N291">(Y279*M279%)/G279*1000</f>
        <v>119485.71428571428</v>
      </c>
      <c r="O279" s="290">
        <v>37.5</v>
      </c>
      <c r="P279" s="291" t="s">
        <v>433</v>
      </c>
      <c r="Q279" s="288">
        <v>1.07</v>
      </c>
      <c r="R279" s="289">
        <f aca="true" t="shared" si="77" ref="R279:R291">O279*dien*Q279</f>
        <v>45702.375</v>
      </c>
      <c r="S279" s="292" t="s">
        <v>1600</v>
      </c>
      <c r="T279" s="296">
        <f>'Nhan cong'!M$38+'Nhan cong'!M$46</f>
        <v>296019.23076923075</v>
      </c>
      <c r="U279" s="250">
        <f aca="true" t="shared" si="78" ref="U279:U286">ROUND((J279+L279+N279+R279+T279),0)</f>
        <v>857900</v>
      </c>
      <c r="V279" s="250">
        <v>900189</v>
      </c>
      <c r="W279" s="250">
        <v>857900</v>
      </c>
      <c r="X279" s="250">
        <v>795877</v>
      </c>
      <c r="Y279" s="293">
        <v>557600</v>
      </c>
      <c r="Z279" s="294"/>
      <c r="AA279" s="251"/>
      <c r="AB279" s="251"/>
    </row>
    <row r="280" spans="1:28" s="295" customFormat="1" ht="15.75">
      <c r="A280" s="284">
        <v>236</v>
      </c>
      <c r="B280" s="284">
        <v>0</v>
      </c>
      <c r="C280" s="284" t="s">
        <v>1036</v>
      </c>
      <c r="D280" s="284" t="s">
        <v>492</v>
      </c>
      <c r="E280" s="285" t="s">
        <v>2635</v>
      </c>
      <c r="F280" s="286" t="s">
        <v>857</v>
      </c>
      <c r="G280" s="284">
        <v>280</v>
      </c>
      <c r="H280" s="284">
        <v>16</v>
      </c>
      <c r="I280" s="284">
        <v>0.95</v>
      </c>
      <c r="J280" s="287">
        <f t="shared" si="74"/>
        <v>412734.2857142857</v>
      </c>
      <c r="K280" s="288">
        <v>4.72</v>
      </c>
      <c r="L280" s="289">
        <f t="shared" si="75"/>
        <v>128164.85714285713</v>
      </c>
      <c r="M280" s="288">
        <v>6</v>
      </c>
      <c r="N280" s="289">
        <f t="shared" si="76"/>
        <v>162921.42857142858</v>
      </c>
      <c r="O280" s="290">
        <v>42</v>
      </c>
      <c r="P280" s="291" t="s">
        <v>433</v>
      </c>
      <c r="Q280" s="288">
        <v>1.07</v>
      </c>
      <c r="R280" s="289">
        <f t="shared" si="77"/>
        <v>51186.66</v>
      </c>
      <c r="S280" s="292" t="s">
        <v>1600</v>
      </c>
      <c r="T280" s="296">
        <f>'Nhan cong'!M$38+'Nhan cong'!M$46</f>
        <v>296019.23076923075</v>
      </c>
      <c r="U280" s="250">
        <f t="shared" si="78"/>
        <v>1051026</v>
      </c>
      <c r="V280" s="250">
        <v>1093315</v>
      </c>
      <c r="W280" s="250">
        <v>1051026</v>
      </c>
      <c r="X280" s="250">
        <v>989003</v>
      </c>
      <c r="Y280" s="293">
        <v>760300</v>
      </c>
      <c r="Z280" s="294"/>
      <c r="AA280" s="251"/>
      <c r="AB280" s="251"/>
    </row>
    <row r="281" spans="1:28" s="295" customFormat="1" ht="15.75">
      <c r="A281" s="284">
        <v>237</v>
      </c>
      <c r="B281" s="284">
        <v>0</v>
      </c>
      <c r="C281" s="284" t="s">
        <v>1037</v>
      </c>
      <c r="D281" s="284" t="s">
        <v>499</v>
      </c>
      <c r="E281" s="285" t="s">
        <v>2636</v>
      </c>
      <c r="F281" s="286" t="s">
        <v>862</v>
      </c>
      <c r="G281" s="284">
        <v>280</v>
      </c>
      <c r="H281" s="284">
        <v>14</v>
      </c>
      <c r="I281" s="284">
        <v>0.95</v>
      </c>
      <c r="J281" s="287">
        <f t="shared" si="74"/>
        <v>439707.50000000006</v>
      </c>
      <c r="K281" s="288">
        <v>4.28</v>
      </c>
      <c r="L281" s="289">
        <f t="shared" si="75"/>
        <v>141499.85714285716</v>
      </c>
      <c r="M281" s="288">
        <v>6</v>
      </c>
      <c r="N281" s="289">
        <f t="shared" si="76"/>
        <v>198364.28571428574</v>
      </c>
      <c r="O281" s="290">
        <v>52.5</v>
      </c>
      <c r="P281" s="291" t="s">
        <v>433</v>
      </c>
      <c r="Q281" s="288">
        <v>1.07</v>
      </c>
      <c r="R281" s="289">
        <f t="shared" si="77"/>
        <v>63983.325000000004</v>
      </c>
      <c r="S281" s="292" t="s">
        <v>1600</v>
      </c>
      <c r="T281" s="296">
        <f>'Nhan cong'!M$38+'Nhan cong'!M$46</f>
        <v>296019.23076923075</v>
      </c>
      <c r="U281" s="250">
        <f t="shared" si="78"/>
        <v>1139574</v>
      </c>
      <c r="V281" s="250">
        <v>1181863</v>
      </c>
      <c r="W281" s="250">
        <v>1139574</v>
      </c>
      <c r="X281" s="250">
        <v>1077551</v>
      </c>
      <c r="Y281" s="293">
        <v>925700</v>
      </c>
      <c r="Z281" s="294"/>
      <c r="AA281" s="251"/>
      <c r="AB281" s="251"/>
    </row>
    <row r="282" spans="1:28" s="295" customFormat="1" ht="15.75">
      <c r="A282" s="284">
        <v>238</v>
      </c>
      <c r="B282" s="284">
        <v>0</v>
      </c>
      <c r="C282" s="284" t="s">
        <v>1038</v>
      </c>
      <c r="D282" s="284" t="s">
        <v>948</v>
      </c>
      <c r="E282" s="285" t="s">
        <v>2637</v>
      </c>
      <c r="F282" s="286" t="s">
        <v>1793</v>
      </c>
      <c r="G282" s="284">
        <v>280</v>
      </c>
      <c r="H282" s="284">
        <v>14</v>
      </c>
      <c r="I282" s="284">
        <v>0.95</v>
      </c>
      <c r="J282" s="287">
        <f t="shared" si="74"/>
        <v>588240</v>
      </c>
      <c r="K282" s="288">
        <v>4</v>
      </c>
      <c r="L282" s="289">
        <f t="shared" si="75"/>
        <v>176914.2857142857</v>
      </c>
      <c r="M282" s="288">
        <v>6</v>
      </c>
      <c r="N282" s="289">
        <f t="shared" si="76"/>
        <v>265371.4285714286</v>
      </c>
      <c r="O282" s="290">
        <v>60</v>
      </c>
      <c r="P282" s="291" t="s">
        <v>433</v>
      </c>
      <c r="Q282" s="288">
        <v>1.07</v>
      </c>
      <c r="R282" s="289">
        <f t="shared" si="77"/>
        <v>73123.8</v>
      </c>
      <c r="S282" s="292" t="s">
        <v>1600</v>
      </c>
      <c r="T282" s="296">
        <f>'Nhan cong'!M$38+'Nhan cong'!M$46</f>
        <v>296019.23076923075</v>
      </c>
      <c r="U282" s="250">
        <f t="shared" si="78"/>
        <v>1399669</v>
      </c>
      <c r="V282" s="250">
        <v>1441958</v>
      </c>
      <c r="W282" s="250">
        <v>1399669</v>
      </c>
      <c r="X282" s="250">
        <v>1337646</v>
      </c>
      <c r="Y282" s="293">
        <v>1238400</v>
      </c>
      <c r="Z282" s="294"/>
      <c r="AA282" s="251"/>
      <c r="AB282" s="251"/>
    </row>
    <row r="283" spans="1:28" s="295" customFormat="1" ht="15.75">
      <c r="A283" s="284">
        <v>239</v>
      </c>
      <c r="B283" s="284">
        <v>0</v>
      </c>
      <c r="C283" s="284" t="s">
        <v>1039</v>
      </c>
      <c r="D283" s="284" t="s">
        <v>952</v>
      </c>
      <c r="E283" s="285" t="s">
        <v>2638</v>
      </c>
      <c r="F283" s="286" t="s">
        <v>1040</v>
      </c>
      <c r="G283" s="284">
        <v>280</v>
      </c>
      <c r="H283" s="284">
        <v>14</v>
      </c>
      <c r="I283" s="284">
        <v>0.95</v>
      </c>
      <c r="J283" s="287">
        <f t="shared" si="74"/>
        <v>716727.5000000001</v>
      </c>
      <c r="K283" s="288">
        <v>4</v>
      </c>
      <c r="L283" s="289">
        <f t="shared" si="75"/>
        <v>215557.14285714284</v>
      </c>
      <c r="M283" s="288">
        <v>6</v>
      </c>
      <c r="N283" s="289">
        <f t="shared" si="76"/>
        <v>323335.71428571426</v>
      </c>
      <c r="O283" s="290">
        <v>67.5</v>
      </c>
      <c r="P283" s="291" t="s">
        <v>433</v>
      </c>
      <c r="Q283" s="288">
        <v>1.07</v>
      </c>
      <c r="R283" s="289">
        <f t="shared" si="77"/>
        <v>82264.27500000001</v>
      </c>
      <c r="S283" s="292" t="s">
        <v>1600</v>
      </c>
      <c r="T283" s="296">
        <f>'Nhan cong'!M$38+'Nhan cong'!M$46</f>
        <v>296019.23076923075</v>
      </c>
      <c r="U283" s="250">
        <f t="shared" si="78"/>
        <v>1633904</v>
      </c>
      <c r="V283" s="250">
        <v>1676193</v>
      </c>
      <c r="W283" s="250">
        <v>1633904</v>
      </c>
      <c r="X283" s="250">
        <v>1571881</v>
      </c>
      <c r="Y283" s="293">
        <v>1508900</v>
      </c>
      <c r="Z283" s="294"/>
      <c r="AA283" s="251"/>
      <c r="AB283" s="251"/>
    </row>
    <row r="284" spans="1:28" s="295" customFormat="1" ht="15.75">
      <c r="A284" s="284">
        <v>240</v>
      </c>
      <c r="B284" s="284">
        <v>0</v>
      </c>
      <c r="C284" s="284" t="s">
        <v>1041</v>
      </c>
      <c r="D284" s="284" t="s">
        <v>956</v>
      </c>
      <c r="E284" s="285" t="s">
        <v>2639</v>
      </c>
      <c r="F284" s="286" t="s">
        <v>1042</v>
      </c>
      <c r="G284" s="284">
        <v>280</v>
      </c>
      <c r="H284" s="284">
        <v>14</v>
      </c>
      <c r="I284" s="284">
        <v>0.95</v>
      </c>
      <c r="J284" s="287">
        <f t="shared" si="74"/>
        <v>787360</v>
      </c>
      <c r="K284" s="288">
        <v>4</v>
      </c>
      <c r="L284" s="289">
        <f t="shared" si="75"/>
        <v>236800</v>
      </c>
      <c r="M284" s="288">
        <v>6</v>
      </c>
      <c r="N284" s="289">
        <f t="shared" si="76"/>
        <v>355200</v>
      </c>
      <c r="O284" s="290">
        <v>90</v>
      </c>
      <c r="P284" s="291" t="s">
        <v>433</v>
      </c>
      <c r="Q284" s="288">
        <v>1.07</v>
      </c>
      <c r="R284" s="289">
        <f t="shared" si="77"/>
        <v>109685.70000000001</v>
      </c>
      <c r="S284" s="292" t="s">
        <v>1600</v>
      </c>
      <c r="T284" s="296">
        <f>'Nhan cong'!M$38+'Nhan cong'!M$46</f>
        <v>296019.23076923075</v>
      </c>
      <c r="U284" s="250">
        <f t="shared" si="78"/>
        <v>1785065</v>
      </c>
      <c r="V284" s="250">
        <v>1827354</v>
      </c>
      <c r="W284" s="250">
        <v>1785065</v>
      </c>
      <c r="X284" s="250">
        <v>1723042</v>
      </c>
      <c r="Y284" s="293">
        <v>1657600</v>
      </c>
      <c r="Z284" s="294"/>
      <c r="AA284" s="251"/>
      <c r="AB284" s="251"/>
    </row>
    <row r="285" spans="1:28" s="295" customFormat="1" ht="15.75">
      <c r="A285" s="284">
        <v>241</v>
      </c>
      <c r="B285" s="284">
        <v>0</v>
      </c>
      <c r="C285" s="284" t="s">
        <v>1043</v>
      </c>
      <c r="D285" s="284" t="s">
        <v>964</v>
      </c>
      <c r="E285" s="285" t="s">
        <v>2640</v>
      </c>
      <c r="F285" s="286" t="s">
        <v>988</v>
      </c>
      <c r="G285" s="284">
        <v>280</v>
      </c>
      <c r="H285" s="284">
        <v>13</v>
      </c>
      <c r="I285" s="284">
        <v>0.95</v>
      </c>
      <c r="J285" s="287">
        <f t="shared" si="74"/>
        <v>877114.6428571428</v>
      </c>
      <c r="K285" s="288">
        <v>3.8</v>
      </c>
      <c r="L285" s="289">
        <f t="shared" si="75"/>
        <v>269881.4285714286</v>
      </c>
      <c r="M285" s="288">
        <v>6</v>
      </c>
      <c r="N285" s="289">
        <f t="shared" si="76"/>
        <v>426128.5714285714</v>
      </c>
      <c r="O285" s="290">
        <v>112.5</v>
      </c>
      <c r="P285" s="291" t="s">
        <v>433</v>
      </c>
      <c r="Q285" s="288">
        <v>1.07</v>
      </c>
      <c r="R285" s="289">
        <f t="shared" si="77"/>
        <v>137107.125</v>
      </c>
      <c r="S285" s="292" t="s">
        <v>1600</v>
      </c>
      <c r="T285" s="296">
        <f>'Nhan cong'!M$38+'Nhan cong'!M$46</f>
        <v>296019.23076923075</v>
      </c>
      <c r="U285" s="250">
        <f t="shared" si="78"/>
        <v>2006251</v>
      </c>
      <c r="V285" s="250">
        <v>2048540</v>
      </c>
      <c r="W285" s="250">
        <v>2006251</v>
      </c>
      <c r="X285" s="250">
        <v>1944228</v>
      </c>
      <c r="Y285" s="293">
        <v>1988600</v>
      </c>
      <c r="Z285" s="294"/>
      <c r="AA285" s="251"/>
      <c r="AB285" s="251"/>
    </row>
    <row r="286" spans="1:28" s="295" customFormat="1" ht="15.75">
      <c r="A286" s="284">
        <v>242</v>
      </c>
      <c r="B286" s="284" t="s">
        <v>3805</v>
      </c>
      <c r="C286" s="284" t="s">
        <v>1044</v>
      </c>
      <c r="D286" s="284"/>
      <c r="E286" s="285" t="s">
        <v>89</v>
      </c>
      <c r="F286" s="286" t="s">
        <v>991</v>
      </c>
      <c r="G286" s="284">
        <v>280</v>
      </c>
      <c r="H286" s="284">
        <v>13</v>
      </c>
      <c r="I286" s="284">
        <v>0.95</v>
      </c>
      <c r="J286" s="287">
        <f t="shared" si="74"/>
        <v>1216298.5714285714</v>
      </c>
      <c r="K286" s="288">
        <v>3.8</v>
      </c>
      <c r="L286" s="289">
        <f t="shared" si="75"/>
        <v>374245.7142857143</v>
      </c>
      <c r="M286" s="288">
        <v>6</v>
      </c>
      <c r="N286" s="289">
        <f t="shared" si="76"/>
        <v>590914.2857142857</v>
      </c>
      <c r="O286" s="290">
        <v>120</v>
      </c>
      <c r="P286" s="291" t="s">
        <v>433</v>
      </c>
      <c r="Q286" s="288">
        <v>1.07</v>
      </c>
      <c r="R286" s="289">
        <f t="shared" si="77"/>
        <v>146247.6</v>
      </c>
      <c r="S286" s="292" t="s">
        <v>256</v>
      </c>
      <c r="T286" s="296">
        <f>'Nhan cong'!M$38+'Nhan cong'!M$49</f>
        <v>324005.76923076925</v>
      </c>
      <c r="U286" s="250">
        <f t="shared" si="78"/>
        <v>2651712</v>
      </c>
      <c r="V286" s="250">
        <v>2697998</v>
      </c>
      <c r="W286" s="250">
        <v>2651712</v>
      </c>
      <c r="X286" s="250">
        <v>2583825</v>
      </c>
      <c r="Y286" s="293">
        <v>2757600</v>
      </c>
      <c r="Z286" s="294"/>
      <c r="AA286" s="251"/>
      <c r="AB286" s="251"/>
    </row>
    <row r="287" spans="1:28" s="295" customFormat="1" ht="15.75">
      <c r="A287" s="284">
        <v>243</v>
      </c>
      <c r="B287" s="284" t="s">
        <v>3806</v>
      </c>
      <c r="C287" s="284" t="s">
        <v>1045</v>
      </c>
      <c r="D287" s="284" t="s">
        <v>968</v>
      </c>
      <c r="E287" s="285" t="s">
        <v>2641</v>
      </c>
      <c r="F287" s="286" t="s">
        <v>993</v>
      </c>
      <c r="G287" s="284">
        <v>280</v>
      </c>
      <c r="H287" s="284">
        <v>13</v>
      </c>
      <c r="I287" s="284">
        <v>0.95</v>
      </c>
      <c r="J287" s="287">
        <f t="shared" si="74"/>
        <v>1524254.642857143</v>
      </c>
      <c r="K287" s="288">
        <v>3.8</v>
      </c>
      <c r="L287" s="289">
        <f t="shared" si="75"/>
        <v>469001.4285714286</v>
      </c>
      <c r="M287" s="288">
        <v>6</v>
      </c>
      <c r="N287" s="289">
        <f t="shared" si="76"/>
        <v>740528.5714285715</v>
      </c>
      <c r="O287" s="290">
        <v>127.5</v>
      </c>
      <c r="P287" s="291" t="s">
        <v>433</v>
      </c>
      <c r="Q287" s="288">
        <v>1.07</v>
      </c>
      <c r="R287" s="289">
        <f t="shared" si="77"/>
        <v>155388.075</v>
      </c>
      <c r="S287" s="292" t="s">
        <v>256</v>
      </c>
      <c r="T287" s="296">
        <f>'Nhan cong'!M$38+'Nhan cong'!M$49</f>
        <v>324005.76923076925</v>
      </c>
      <c r="U287" s="250">
        <f>ROUND((J287+L287+N287+R287+T287),0)+1</f>
        <v>3213179</v>
      </c>
      <c r="V287" s="250">
        <v>3259465</v>
      </c>
      <c r="W287" s="250">
        <v>3213179</v>
      </c>
      <c r="X287" s="250">
        <v>3145292</v>
      </c>
      <c r="Y287" s="293">
        <v>3455800</v>
      </c>
      <c r="Z287" s="294">
        <v>1</v>
      </c>
      <c r="AA287" s="251"/>
      <c r="AB287" s="251"/>
    </row>
    <row r="288" spans="1:28" s="295" customFormat="1" ht="15.75">
      <c r="A288" s="284">
        <v>244</v>
      </c>
      <c r="B288" s="284" t="s">
        <v>3807</v>
      </c>
      <c r="C288" s="284" t="s">
        <v>1046</v>
      </c>
      <c r="D288" s="284" t="s">
        <v>488</v>
      </c>
      <c r="E288" s="285" t="s">
        <v>2642</v>
      </c>
      <c r="F288" s="286" t="s">
        <v>997</v>
      </c>
      <c r="G288" s="284">
        <v>280</v>
      </c>
      <c r="H288" s="284">
        <v>13</v>
      </c>
      <c r="I288" s="284">
        <v>0.95</v>
      </c>
      <c r="J288" s="287">
        <f t="shared" si="74"/>
        <v>1769181.607142857</v>
      </c>
      <c r="K288" s="288">
        <v>3.54</v>
      </c>
      <c r="L288" s="289">
        <f t="shared" si="75"/>
        <v>507117.64285714284</v>
      </c>
      <c r="M288" s="288">
        <v>6</v>
      </c>
      <c r="N288" s="289">
        <f t="shared" si="76"/>
        <v>859521.4285714286</v>
      </c>
      <c r="O288" s="290">
        <v>135</v>
      </c>
      <c r="P288" s="291" t="s">
        <v>433</v>
      </c>
      <c r="Q288" s="288">
        <v>1.07</v>
      </c>
      <c r="R288" s="289">
        <f t="shared" si="77"/>
        <v>164528.55000000002</v>
      </c>
      <c r="S288" s="292" t="s">
        <v>256</v>
      </c>
      <c r="T288" s="296">
        <f>'Nhan cong'!M$38+'Nhan cong'!M$49</f>
        <v>324005.76923076925</v>
      </c>
      <c r="U288" s="250">
        <f>ROUND((J288+L288+N288+R288+T288),0)</f>
        <v>3624355</v>
      </c>
      <c r="V288" s="250">
        <v>3670641</v>
      </c>
      <c r="W288" s="250">
        <v>3624355</v>
      </c>
      <c r="X288" s="250">
        <v>3556468</v>
      </c>
      <c r="Y288" s="293">
        <v>4011100</v>
      </c>
      <c r="Z288" s="294"/>
      <c r="AA288" s="251"/>
      <c r="AB288" s="251"/>
    </row>
    <row r="289" spans="1:28" s="295" customFormat="1" ht="15.75">
      <c r="A289" s="284">
        <v>245</v>
      </c>
      <c r="B289" s="284" t="s">
        <v>3808</v>
      </c>
      <c r="C289" s="284" t="s">
        <v>1047</v>
      </c>
      <c r="D289" s="284"/>
      <c r="E289" s="285" t="s">
        <v>90</v>
      </c>
      <c r="F289" s="286" t="s">
        <v>1002</v>
      </c>
      <c r="G289" s="284">
        <v>280</v>
      </c>
      <c r="H289" s="284">
        <v>13</v>
      </c>
      <c r="I289" s="284">
        <v>0.95</v>
      </c>
      <c r="J289" s="287">
        <f t="shared" si="74"/>
        <v>2219162.678571428</v>
      </c>
      <c r="K289" s="288">
        <v>3.54</v>
      </c>
      <c r="L289" s="289">
        <f t="shared" si="75"/>
        <v>636100.0714285715</v>
      </c>
      <c r="M289" s="288">
        <v>6</v>
      </c>
      <c r="N289" s="289">
        <f t="shared" si="76"/>
        <v>1078135.7142857143</v>
      </c>
      <c r="O289" s="290">
        <v>142.5</v>
      </c>
      <c r="P289" s="291" t="s">
        <v>433</v>
      </c>
      <c r="Q289" s="288">
        <v>1.07</v>
      </c>
      <c r="R289" s="289">
        <f t="shared" si="77"/>
        <v>173669.02500000002</v>
      </c>
      <c r="S289" s="292" t="s">
        <v>1048</v>
      </c>
      <c r="T289" s="296">
        <f>'Nhan cong'!M$42*2+'Nhan cong'!M$49</f>
        <v>490333.8461538462</v>
      </c>
      <c r="U289" s="250">
        <f>ROUND((J289+L289+N289+R289+T289),0)+1</f>
        <v>4597402</v>
      </c>
      <c r="V289" s="250">
        <v>4667449</v>
      </c>
      <c r="W289" s="250">
        <v>4597402</v>
      </c>
      <c r="X289" s="250">
        <v>4494664</v>
      </c>
      <c r="Y289" s="293">
        <v>5031300</v>
      </c>
      <c r="Z289" s="294">
        <v>1</v>
      </c>
      <c r="AA289" s="251"/>
      <c r="AB289" s="251"/>
    </row>
    <row r="290" spans="1:28" s="295" customFormat="1" ht="15.75">
      <c r="A290" s="284">
        <v>246</v>
      </c>
      <c r="B290" s="284">
        <v>0</v>
      </c>
      <c r="C290" s="284" t="s">
        <v>1049</v>
      </c>
      <c r="D290" s="284" t="s">
        <v>496</v>
      </c>
      <c r="E290" s="285" t="s">
        <v>2643</v>
      </c>
      <c r="F290" s="286" t="s">
        <v>1050</v>
      </c>
      <c r="G290" s="284">
        <v>280</v>
      </c>
      <c r="H290" s="284">
        <v>13</v>
      </c>
      <c r="I290" s="284">
        <v>0.95</v>
      </c>
      <c r="J290" s="287">
        <f t="shared" si="74"/>
        <v>2773986.428571428</v>
      </c>
      <c r="K290" s="288">
        <v>3.54</v>
      </c>
      <c r="L290" s="289">
        <f t="shared" si="75"/>
        <v>795134.5714285714</v>
      </c>
      <c r="M290" s="288">
        <v>6</v>
      </c>
      <c r="N290" s="289">
        <f t="shared" si="76"/>
        <v>1347685.7142857143</v>
      </c>
      <c r="O290" s="290">
        <v>198</v>
      </c>
      <c r="P290" s="291" t="s">
        <v>433</v>
      </c>
      <c r="Q290" s="288">
        <v>1.07</v>
      </c>
      <c r="R290" s="289">
        <f t="shared" si="77"/>
        <v>241308.54</v>
      </c>
      <c r="S290" s="292" t="s">
        <v>1048</v>
      </c>
      <c r="T290" s="296">
        <f>'Nhan cong'!M$42*2+'Nhan cong'!M$49</f>
        <v>490333.8461538462</v>
      </c>
      <c r="U290" s="250">
        <f>ROUND((J290+L290+N290+R290+T290),0)</f>
        <v>5648449</v>
      </c>
      <c r="V290" s="250">
        <v>5718497</v>
      </c>
      <c r="W290" s="250">
        <v>5648449</v>
      </c>
      <c r="X290" s="250">
        <v>5545712</v>
      </c>
      <c r="Y290" s="293">
        <v>6289200</v>
      </c>
      <c r="Z290" s="294"/>
      <c r="AA290" s="251"/>
      <c r="AB290" s="251"/>
    </row>
    <row r="291" spans="1:28" s="295" customFormat="1" ht="31.5">
      <c r="A291" s="284">
        <v>247</v>
      </c>
      <c r="B291" s="284">
        <v>0</v>
      </c>
      <c r="C291" s="284" t="s">
        <v>1051</v>
      </c>
      <c r="D291" s="284" t="s">
        <v>3303</v>
      </c>
      <c r="E291" s="285" t="s">
        <v>2644</v>
      </c>
      <c r="F291" s="286" t="s">
        <v>1052</v>
      </c>
      <c r="G291" s="284">
        <v>280</v>
      </c>
      <c r="H291" s="284">
        <v>13</v>
      </c>
      <c r="I291" s="284">
        <v>0.95</v>
      </c>
      <c r="J291" s="287">
        <f t="shared" si="74"/>
        <v>9837789.464285713</v>
      </c>
      <c r="K291" s="288">
        <v>3.54</v>
      </c>
      <c r="L291" s="289">
        <f t="shared" si="75"/>
        <v>2819900.7857142854</v>
      </c>
      <c r="M291" s="288">
        <v>6</v>
      </c>
      <c r="N291" s="289">
        <f t="shared" si="76"/>
        <v>4779492.857142857</v>
      </c>
      <c r="O291" s="290">
        <v>480</v>
      </c>
      <c r="P291" s="291" t="s">
        <v>433</v>
      </c>
      <c r="Q291" s="288">
        <v>1.07</v>
      </c>
      <c r="R291" s="289">
        <f t="shared" si="77"/>
        <v>584990.4</v>
      </c>
      <c r="S291" s="292" t="s">
        <v>1053</v>
      </c>
      <c r="T291" s="296">
        <f>'Nhan cong'!M$42*2+'Nhan cong'!M$49+'Nhan cong'!M$50</f>
        <v>722303.076923077</v>
      </c>
      <c r="U291" s="250">
        <f>ROUND((J291+L291+N291+R291+T291),0)-1</f>
        <v>18744476</v>
      </c>
      <c r="V291" s="250">
        <v>18847663</v>
      </c>
      <c r="W291" s="250">
        <v>18744476</v>
      </c>
      <c r="X291" s="250">
        <v>18593137</v>
      </c>
      <c r="Y291" s="293">
        <v>22304300</v>
      </c>
      <c r="Z291" s="294">
        <v>-1</v>
      </c>
      <c r="AA291" s="251"/>
      <c r="AB291" s="251"/>
    </row>
    <row r="292" spans="1:28" s="295" customFormat="1" ht="15.75">
      <c r="A292" s="297"/>
      <c r="B292" s="284"/>
      <c r="C292" s="298"/>
      <c r="D292" s="284"/>
      <c r="E292" s="272"/>
      <c r="F292" s="151" t="s">
        <v>1054</v>
      </c>
      <c r="G292" s="284"/>
      <c r="H292" s="284"/>
      <c r="I292" s="284"/>
      <c r="J292" s="299"/>
      <c r="K292" s="288"/>
      <c r="L292" s="289"/>
      <c r="M292" s="288"/>
      <c r="N292" s="300"/>
      <c r="O292" s="290"/>
      <c r="P292" s="291"/>
      <c r="Q292" s="288"/>
      <c r="R292" s="300"/>
      <c r="S292" s="292"/>
      <c r="T292" s="296"/>
      <c r="U292" s="250"/>
      <c r="V292" s="250"/>
      <c r="W292" s="250"/>
      <c r="X292" s="250"/>
      <c r="Y292" s="293"/>
      <c r="Z292" s="385"/>
      <c r="AA292" s="251"/>
      <c r="AB292" s="251"/>
    </row>
    <row r="293" spans="1:28" s="295" customFormat="1" ht="78.75">
      <c r="A293" s="284">
        <v>248</v>
      </c>
      <c r="B293" s="284" t="s">
        <v>3788</v>
      </c>
      <c r="C293" s="284" t="s">
        <v>1055</v>
      </c>
      <c r="D293" s="284" t="s">
        <v>2326</v>
      </c>
      <c r="E293" s="285" t="s">
        <v>2645</v>
      </c>
      <c r="F293" s="286" t="s">
        <v>1056</v>
      </c>
      <c r="G293" s="284">
        <v>170</v>
      </c>
      <c r="H293" s="284">
        <v>13</v>
      </c>
      <c r="I293" s="284">
        <v>0.95</v>
      </c>
      <c r="J293" s="287">
        <f>Y293*H293%*I293/G293*1000</f>
        <v>2029831.4705882352</v>
      </c>
      <c r="K293" s="288">
        <v>5.9</v>
      </c>
      <c r="L293" s="289">
        <f>(Y293*K293%)/G293*1000</f>
        <v>969717.0588235295</v>
      </c>
      <c r="M293" s="288">
        <v>7</v>
      </c>
      <c r="N293" s="289">
        <f>(Y293*M293%)/G293*1000</f>
        <v>1150511.7647058826</v>
      </c>
      <c r="O293" s="290">
        <v>81</v>
      </c>
      <c r="P293" s="291" t="s">
        <v>1590</v>
      </c>
      <c r="Q293" s="288">
        <v>1.05</v>
      </c>
      <c r="R293" s="289">
        <f>O293*diezel*Q293</f>
        <v>1631413.791</v>
      </c>
      <c r="S293" s="292" t="s">
        <v>1057</v>
      </c>
      <c r="T293" s="296">
        <f>BLthodkmay!E3</f>
        <v>847858.8461538461</v>
      </c>
      <c r="U293" s="250">
        <f>ROUND((J293+L293+N293+R293+T293),0)</f>
        <v>6629333</v>
      </c>
      <c r="V293" s="250">
        <v>6682997</v>
      </c>
      <c r="W293" s="250">
        <v>3570306</v>
      </c>
      <c r="X293" s="250">
        <v>6405027</v>
      </c>
      <c r="Y293" s="293">
        <v>2794100</v>
      </c>
      <c r="Z293" s="294"/>
      <c r="AA293" s="251">
        <v>6570306</v>
      </c>
      <c r="AB293" s="251"/>
    </row>
    <row r="294" spans="1:28" s="295" customFormat="1" ht="15.75">
      <c r="A294" s="297"/>
      <c r="B294" s="284"/>
      <c r="C294" s="298"/>
      <c r="D294" s="284"/>
      <c r="E294" s="272"/>
      <c r="F294" s="151" t="s">
        <v>1058</v>
      </c>
      <c r="G294" s="284"/>
      <c r="H294" s="284"/>
      <c r="I294" s="284"/>
      <c r="J294" s="299"/>
      <c r="K294" s="288"/>
      <c r="L294" s="289"/>
      <c r="M294" s="288"/>
      <c r="N294" s="300"/>
      <c r="O294" s="290"/>
      <c r="P294" s="291"/>
      <c r="Q294" s="288"/>
      <c r="R294" s="300"/>
      <c r="S294" s="292"/>
      <c r="T294" s="296"/>
      <c r="U294" s="250"/>
      <c r="V294" s="250"/>
      <c r="W294" s="250"/>
      <c r="X294" s="250"/>
      <c r="Y294" s="293"/>
      <c r="Z294" s="385"/>
      <c r="AA294" s="251"/>
      <c r="AB294" s="251"/>
    </row>
    <row r="295" spans="1:28" s="295" customFormat="1" ht="94.5">
      <c r="A295" s="284">
        <v>249</v>
      </c>
      <c r="B295" s="284">
        <v>0</v>
      </c>
      <c r="C295" s="284" t="s">
        <v>1059</v>
      </c>
      <c r="D295" s="284" t="s">
        <v>2335</v>
      </c>
      <c r="E295" s="285" t="s">
        <v>2646</v>
      </c>
      <c r="F295" s="286" t="s">
        <v>1060</v>
      </c>
      <c r="G295" s="284">
        <v>170</v>
      </c>
      <c r="H295" s="284">
        <v>13</v>
      </c>
      <c r="I295" s="284">
        <v>0.95</v>
      </c>
      <c r="J295" s="287">
        <f>Y295*H295%*I295/G295*1000</f>
        <v>3055317.352941176</v>
      </c>
      <c r="K295" s="288">
        <v>5.77</v>
      </c>
      <c r="L295" s="289">
        <f>(Y295*K295%)/G295*1000</f>
        <v>1427464.0588235294</v>
      </c>
      <c r="M295" s="288">
        <v>7</v>
      </c>
      <c r="N295" s="289">
        <f>(Y295*M295%)/G295*1000</f>
        <v>1731758.8235294118</v>
      </c>
      <c r="O295" s="290">
        <v>117.6</v>
      </c>
      <c r="P295" s="291" t="s">
        <v>1590</v>
      </c>
      <c r="Q295" s="288">
        <v>1.05</v>
      </c>
      <c r="R295" s="289">
        <f>O295*diezel*Q295</f>
        <v>2368571.1336</v>
      </c>
      <c r="S295" s="292" t="s">
        <v>1061</v>
      </c>
      <c r="T295" s="296">
        <f>BLthodkmay!E9</f>
        <v>1366752.6923076923</v>
      </c>
      <c r="U295" s="250">
        <f>ROUND((J295+L295+N295+R295+T295),0)</f>
        <v>9949864</v>
      </c>
      <c r="V295" s="250">
        <v>9893888</v>
      </c>
      <c r="W295" s="250">
        <v>9730041</v>
      </c>
      <c r="X295" s="251">
        <v>9489732</v>
      </c>
      <c r="Y295" s="293">
        <v>4205700</v>
      </c>
      <c r="Z295" s="294"/>
      <c r="AA295" s="251">
        <v>9730041</v>
      </c>
      <c r="AB295" s="251"/>
    </row>
    <row r="296" spans="1:28" s="295" customFormat="1" ht="31.5">
      <c r="A296" s="297"/>
      <c r="B296" s="284"/>
      <c r="C296" s="298"/>
      <c r="D296" s="284"/>
      <c r="E296" s="272"/>
      <c r="F296" s="241" t="s">
        <v>1062</v>
      </c>
      <c r="G296" s="284"/>
      <c r="H296" s="284"/>
      <c r="I296" s="284"/>
      <c r="J296" s="299"/>
      <c r="K296" s="288"/>
      <c r="L296" s="289"/>
      <c r="M296" s="288"/>
      <c r="N296" s="300"/>
      <c r="O296" s="290"/>
      <c r="P296" s="291"/>
      <c r="Q296" s="288"/>
      <c r="R296" s="300"/>
      <c r="S296" s="292"/>
      <c r="T296" s="296"/>
      <c r="U296" s="250"/>
      <c r="V296" s="250"/>
      <c r="W296" s="250"/>
      <c r="X296" s="250"/>
      <c r="Y296" s="293"/>
      <c r="Z296" s="385"/>
      <c r="AA296" s="251"/>
      <c r="AB296" s="251"/>
    </row>
    <row r="297" spans="1:28" s="295" customFormat="1" ht="31.5">
      <c r="A297" s="284">
        <v>250</v>
      </c>
      <c r="B297" s="284" t="s">
        <v>3804</v>
      </c>
      <c r="C297" s="284" t="s">
        <v>1063</v>
      </c>
      <c r="D297" s="284" t="s">
        <v>3304</v>
      </c>
      <c r="E297" s="285" t="s">
        <v>2647</v>
      </c>
      <c r="F297" s="286" t="s">
        <v>1064</v>
      </c>
      <c r="G297" s="284">
        <v>170</v>
      </c>
      <c r="H297" s="284">
        <v>14</v>
      </c>
      <c r="I297" s="284">
        <v>0.95</v>
      </c>
      <c r="J297" s="287">
        <f>Y297*H297%*I297/G297*1000</f>
        <v>1841345.8823529414</v>
      </c>
      <c r="K297" s="288">
        <v>3.52</v>
      </c>
      <c r="L297" s="289">
        <f>(Y297*K297%)/G297*1000</f>
        <v>487333.64705882355</v>
      </c>
      <c r="M297" s="288">
        <v>6</v>
      </c>
      <c r="N297" s="289">
        <f>(Y297*M297%)/G297*1000</f>
        <v>830682.3529411764</v>
      </c>
      <c r="O297" s="290">
        <v>232.56</v>
      </c>
      <c r="P297" s="291" t="s">
        <v>433</v>
      </c>
      <c r="Q297" s="288">
        <v>1.07</v>
      </c>
      <c r="R297" s="289">
        <f>O297*dien*Q297</f>
        <v>283427.84880000004</v>
      </c>
      <c r="S297" s="292" t="s">
        <v>1065</v>
      </c>
      <c r="T297" s="296">
        <f>'Nhan cong'!M37+'Nhan cong'!M41*4+'Nhan cong'!M48</f>
        <v>864141.9230769231</v>
      </c>
      <c r="U297" s="250">
        <f>ROUND((J297+L297+N297+R297+T297),0)</f>
        <v>4306932</v>
      </c>
      <c r="V297" s="250">
        <v>4480393</v>
      </c>
      <c r="W297" s="250">
        <v>4350693</v>
      </c>
      <c r="X297" s="251">
        <v>4160465</v>
      </c>
      <c r="Y297" s="293">
        <v>2353600</v>
      </c>
      <c r="Z297" s="294"/>
      <c r="AA297" s="251">
        <v>4350693</v>
      </c>
      <c r="AB297" s="251"/>
    </row>
    <row r="298" spans="1:28" s="295" customFormat="1" ht="15.75">
      <c r="A298" s="297"/>
      <c r="B298" s="284"/>
      <c r="C298" s="298"/>
      <c r="D298" s="284"/>
      <c r="E298" s="272"/>
      <c r="F298" s="151" t="s">
        <v>1066</v>
      </c>
      <c r="G298" s="284"/>
      <c r="H298" s="284"/>
      <c r="I298" s="284"/>
      <c r="J298" s="299"/>
      <c r="K298" s="288"/>
      <c r="L298" s="289"/>
      <c r="M298" s="288"/>
      <c r="N298" s="300"/>
      <c r="O298" s="290"/>
      <c r="P298" s="291"/>
      <c r="Q298" s="288"/>
      <c r="R298" s="300"/>
      <c r="S298" s="292"/>
      <c r="T298" s="296"/>
      <c r="U298" s="250"/>
      <c r="V298" s="250"/>
      <c r="W298" s="250"/>
      <c r="X298" s="250"/>
      <c r="Y298" s="293"/>
      <c r="Z298" s="385"/>
      <c r="AA298" s="251"/>
      <c r="AB298" s="251"/>
    </row>
    <row r="299" spans="1:28" s="295" customFormat="1" ht="15.75">
      <c r="A299" s="284">
        <v>251</v>
      </c>
      <c r="B299" s="284">
        <v>0</v>
      </c>
      <c r="C299" s="284" t="s">
        <v>1067</v>
      </c>
      <c r="D299" s="284" t="s">
        <v>2245</v>
      </c>
      <c r="E299" s="285" t="s">
        <v>2648</v>
      </c>
      <c r="F299" s="286" t="s">
        <v>1068</v>
      </c>
      <c r="G299" s="284">
        <v>170</v>
      </c>
      <c r="H299" s="284">
        <v>14</v>
      </c>
      <c r="I299" s="284">
        <v>0.95</v>
      </c>
      <c r="J299" s="287">
        <f>Y299*H299%*I299/G299*1000</f>
        <v>368722.94117647054</v>
      </c>
      <c r="K299" s="288">
        <v>2.8</v>
      </c>
      <c r="L299" s="289">
        <f>(Y299*K299%)/G299*1000</f>
        <v>77625.88235294116</v>
      </c>
      <c r="M299" s="288">
        <v>5</v>
      </c>
      <c r="N299" s="289">
        <f>(Y299*M299%)/G299*1000</f>
        <v>138617.64705882352</v>
      </c>
      <c r="O299" s="290">
        <v>81</v>
      </c>
      <c r="P299" s="291" t="s">
        <v>433</v>
      </c>
      <c r="Q299" s="288">
        <v>1.07</v>
      </c>
      <c r="R299" s="289">
        <f>O299*dien*Q299</f>
        <v>98717.13</v>
      </c>
      <c r="S299" s="292" t="s">
        <v>1600</v>
      </c>
      <c r="T299" s="296">
        <f>'Nhan cong'!M$38+'Nhan cong'!M$46</f>
        <v>296019.23076923075</v>
      </c>
      <c r="U299" s="250">
        <f>ROUND((J299+L299+N299+R299+T299),0)</f>
        <v>979703</v>
      </c>
      <c r="V299" s="250">
        <v>1021992</v>
      </c>
      <c r="W299" s="250">
        <v>979703</v>
      </c>
      <c r="X299" s="250">
        <v>917680</v>
      </c>
      <c r="Y299" s="293">
        <v>471300</v>
      </c>
      <c r="Z299" s="294"/>
      <c r="AA299" s="251"/>
      <c r="AB299" s="251"/>
    </row>
    <row r="300" spans="1:28" s="295" customFormat="1" ht="15.75">
      <c r="A300" s="284">
        <v>252</v>
      </c>
      <c r="B300" s="284">
        <v>0</v>
      </c>
      <c r="C300" s="284" t="s">
        <v>1069</v>
      </c>
      <c r="D300" s="284" t="s">
        <v>2251</v>
      </c>
      <c r="E300" s="285" t="s">
        <v>2649</v>
      </c>
      <c r="F300" s="286" t="s">
        <v>1070</v>
      </c>
      <c r="G300" s="284">
        <v>170</v>
      </c>
      <c r="H300" s="284">
        <v>14</v>
      </c>
      <c r="I300" s="284">
        <v>0.95</v>
      </c>
      <c r="J300" s="287">
        <f>Y300*H300%*I300/G300*1000</f>
        <v>485762.94117647066</v>
      </c>
      <c r="K300" s="288">
        <v>2.8</v>
      </c>
      <c r="L300" s="289">
        <f>(Y300*K300%)/G300*1000</f>
        <v>102265.88235294116</v>
      </c>
      <c r="M300" s="288">
        <v>5</v>
      </c>
      <c r="N300" s="289">
        <f>(Y300*M300%)/G300*1000</f>
        <v>182617.64705882352</v>
      </c>
      <c r="O300" s="290">
        <v>86.4</v>
      </c>
      <c r="P300" s="291" t="s">
        <v>433</v>
      </c>
      <c r="Q300" s="288">
        <v>1.07</v>
      </c>
      <c r="R300" s="289">
        <f>O300*dien*Q300</f>
        <v>105298.27200000001</v>
      </c>
      <c r="S300" s="292" t="s">
        <v>1600</v>
      </c>
      <c r="T300" s="296">
        <f>'Nhan cong'!M$38+'Nhan cong'!M$46</f>
        <v>296019.23076923075</v>
      </c>
      <c r="U300" s="250">
        <f>ROUND((J300+L300+N300+R300+T300),0)</f>
        <v>1171964</v>
      </c>
      <c r="V300" s="250">
        <v>1214253</v>
      </c>
      <c r="W300" s="250">
        <v>1171964</v>
      </c>
      <c r="X300" s="250">
        <v>1109941</v>
      </c>
      <c r="Y300" s="293">
        <v>620900</v>
      </c>
      <c r="Z300" s="294"/>
      <c r="AA300" s="251"/>
      <c r="AB300" s="251"/>
    </row>
    <row r="301" spans="1:28" s="295" customFormat="1" ht="15.75">
      <c r="A301" s="284">
        <v>253</v>
      </c>
      <c r="B301" s="284" t="s">
        <v>3787</v>
      </c>
      <c r="C301" s="284" t="s">
        <v>1071</v>
      </c>
      <c r="D301" s="284" t="s">
        <v>2226</v>
      </c>
      <c r="E301" s="285" t="s">
        <v>2650</v>
      </c>
      <c r="F301" s="286" t="s">
        <v>1056</v>
      </c>
      <c r="G301" s="284">
        <v>170</v>
      </c>
      <c r="H301" s="284">
        <v>14</v>
      </c>
      <c r="I301" s="284">
        <v>0.95</v>
      </c>
      <c r="J301" s="287">
        <f>Y301*H301%*I301/G301*1000</f>
        <v>571508.8235294119</v>
      </c>
      <c r="K301" s="288">
        <v>2.8</v>
      </c>
      <c r="L301" s="289">
        <f>(Y301*K301%)/G301*1000</f>
        <v>120317.64705882351</v>
      </c>
      <c r="M301" s="288">
        <v>5</v>
      </c>
      <c r="N301" s="289">
        <f>(Y301*M301%)/G301*1000</f>
        <v>214852.94117647057</v>
      </c>
      <c r="O301" s="290">
        <v>90</v>
      </c>
      <c r="P301" s="291" t="s">
        <v>433</v>
      </c>
      <c r="Q301" s="288">
        <v>1.07</v>
      </c>
      <c r="R301" s="289">
        <f>O301*dien*Q301</f>
        <v>109685.70000000001</v>
      </c>
      <c r="S301" s="292" t="s">
        <v>256</v>
      </c>
      <c r="T301" s="296">
        <f>Nii3+Nii6</f>
        <v>324005.76923076925</v>
      </c>
      <c r="U301" s="250">
        <f>ROUND((J301+L301+N301+R301+T301),0)</f>
        <v>1340371</v>
      </c>
      <c r="V301" s="250">
        <v>1386657</v>
      </c>
      <c r="W301" s="250">
        <v>1340371</v>
      </c>
      <c r="X301" s="250">
        <v>1272484</v>
      </c>
      <c r="Y301" s="293">
        <v>730500</v>
      </c>
      <c r="Z301" s="294"/>
      <c r="AA301" s="251"/>
      <c r="AB301" s="251"/>
    </row>
    <row r="302" spans="1:28" s="295" customFormat="1" ht="15.75">
      <c r="A302" s="284">
        <v>254</v>
      </c>
      <c r="B302" s="284">
        <v>0</v>
      </c>
      <c r="C302" s="284" t="s">
        <v>2696</v>
      </c>
      <c r="D302" s="284" t="s">
        <v>2254</v>
      </c>
      <c r="E302" s="285" t="s">
        <v>2651</v>
      </c>
      <c r="F302" s="286" t="s">
        <v>2697</v>
      </c>
      <c r="G302" s="284">
        <v>170</v>
      </c>
      <c r="H302" s="284">
        <v>14</v>
      </c>
      <c r="I302" s="284">
        <v>0.95</v>
      </c>
      <c r="J302" s="287">
        <f>Y302*H302%*I302/G302*1000</f>
        <v>756457.0588235294</v>
      </c>
      <c r="K302" s="288">
        <v>2.5</v>
      </c>
      <c r="L302" s="289">
        <f>(Y302*K302%)/G302*1000</f>
        <v>142191.17647058822</v>
      </c>
      <c r="M302" s="288">
        <v>5</v>
      </c>
      <c r="N302" s="289">
        <f>(Y302*M302%)/G302*1000</f>
        <v>284382.35294117645</v>
      </c>
      <c r="O302" s="290">
        <v>144</v>
      </c>
      <c r="P302" s="291" t="s">
        <v>433</v>
      </c>
      <c r="Q302" s="288">
        <v>1.07</v>
      </c>
      <c r="R302" s="289">
        <f>O302*dien*Q302</f>
        <v>175497.12000000002</v>
      </c>
      <c r="S302" s="292" t="s">
        <v>261</v>
      </c>
      <c r="T302" s="296">
        <f>Nii3+Nii7</f>
        <v>357589.6153846154</v>
      </c>
      <c r="U302" s="250">
        <f>ROUND((J302+L302+N302+R302+T302),0)+1</f>
        <v>1716118</v>
      </c>
      <c r="V302" s="250">
        <v>1767202</v>
      </c>
      <c r="W302" s="250">
        <v>1716118</v>
      </c>
      <c r="X302" s="250">
        <v>1641194</v>
      </c>
      <c r="Y302" s="293">
        <v>966900</v>
      </c>
      <c r="Z302" s="294"/>
      <c r="AA302" s="251"/>
      <c r="AB302" s="251"/>
    </row>
    <row r="303" spans="1:28" s="295" customFormat="1" ht="15.75">
      <c r="A303" s="297"/>
      <c r="B303" s="284"/>
      <c r="C303" s="298"/>
      <c r="D303" s="284"/>
      <c r="E303" s="272"/>
      <c r="F303" s="151" t="s">
        <v>2698</v>
      </c>
      <c r="G303" s="284"/>
      <c r="H303" s="284"/>
      <c r="I303" s="284"/>
      <c r="J303" s="299"/>
      <c r="K303" s="288"/>
      <c r="L303" s="289"/>
      <c r="M303" s="288"/>
      <c r="N303" s="300"/>
      <c r="O303" s="290"/>
      <c r="P303" s="291"/>
      <c r="Q303" s="288"/>
      <c r="R303" s="300"/>
      <c r="S303" s="292"/>
      <c r="T303" s="296"/>
      <c r="U303" s="250"/>
      <c r="V303" s="250"/>
      <c r="W303" s="250"/>
      <c r="X303" s="250"/>
      <c r="Y303" s="293"/>
      <c r="Z303" s="385"/>
      <c r="AA303" s="251"/>
      <c r="AB303" s="251"/>
    </row>
    <row r="304" spans="1:28" s="295" customFormat="1" ht="15.75">
      <c r="A304" s="284">
        <v>255</v>
      </c>
      <c r="B304" s="284" t="s">
        <v>718</v>
      </c>
      <c r="C304" s="284" t="s">
        <v>2699</v>
      </c>
      <c r="D304" s="284" t="s">
        <v>3305</v>
      </c>
      <c r="E304" s="285" t="s">
        <v>2652</v>
      </c>
      <c r="F304" s="286" t="s">
        <v>2700</v>
      </c>
      <c r="G304" s="284">
        <v>280</v>
      </c>
      <c r="H304" s="284">
        <v>10</v>
      </c>
      <c r="I304" s="284">
        <v>0.95</v>
      </c>
      <c r="J304" s="287">
        <f aca="true" t="shared" si="79" ref="J304:J312">Y304*H304%*I304/G304*1000</f>
        <v>112066.07142857143</v>
      </c>
      <c r="K304" s="288">
        <v>2.3</v>
      </c>
      <c r="L304" s="289">
        <f aca="true" t="shared" si="80" ref="L304:L312">(Y304*K304%)/G304*1000</f>
        <v>27131.785714285714</v>
      </c>
      <c r="M304" s="288">
        <v>5</v>
      </c>
      <c r="N304" s="289">
        <f aca="true" t="shared" si="81" ref="N304:N312">(Y304*M304%)/G304*1000</f>
        <v>58982.142857142855</v>
      </c>
      <c r="O304" s="290">
        <v>48</v>
      </c>
      <c r="P304" s="291" t="s">
        <v>433</v>
      </c>
      <c r="Q304" s="288">
        <v>1.07</v>
      </c>
      <c r="R304" s="289">
        <f aca="true" t="shared" si="82" ref="R304:R312">O304*dien*Q304</f>
        <v>58499.04</v>
      </c>
      <c r="S304" s="292" t="s">
        <v>256</v>
      </c>
      <c r="T304" s="296">
        <f>'Nhan cong'!M$38+'Nhan cong'!M$49</f>
        <v>324005.76923076925</v>
      </c>
      <c r="U304" s="250">
        <f>ROUND((J304+L304+N304+R304+T304),0)</f>
        <v>580685</v>
      </c>
      <c r="V304" s="250">
        <v>626971</v>
      </c>
      <c r="W304" s="250">
        <v>580685</v>
      </c>
      <c r="X304" s="250">
        <v>512798</v>
      </c>
      <c r="Y304" s="293">
        <v>330300</v>
      </c>
      <c r="Z304" s="294"/>
      <c r="AA304" s="251"/>
      <c r="AB304" s="251"/>
    </row>
    <row r="305" spans="1:28" s="295" customFormat="1" ht="15.75">
      <c r="A305" s="284">
        <v>256</v>
      </c>
      <c r="B305" s="284">
        <v>0</v>
      </c>
      <c r="C305" s="284" t="s">
        <v>2817</v>
      </c>
      <c r="D305" s="284" t="s">
        <v>3306</v>
      </c>
      <c r="E305" s="285" t="s">
        <v>2653</v>
      </c>
      <c r="F305" s="286" t="s">
        <v>2818</v>
      </c>
      <c r="G305" s="284">
        <v>280</v>
      </c>
      <c r="H305" s="284">
        <v>10</v>
      </c>
      <c r="I305" s="284">
        <v>0.95</v>
      </c>
      <c r="J305" s="287">
        <f t="shared" si="79"/>
        <v>126112.5</v>
      </c>
      <c r="K305" s="288">
        <v>2.3</v>
      </c>
      <c r="L305" s="289">
        <f t="shared" si="80"/>
        <v>30532.500000000004</v>
      </c>
      <c r="M305" s="288">
        <v>5</v>
      </c>
      <c r="N305" s="289">
        <f t="shared" si="81"/>
        <v>66375</v>
      </c>
      <c r="O305" s="290">
        <v>60</v>
      </c>
      <c r="P305" s="291" t="s">
        <v>433</v>
      </c>
      <c r="Q305" s="288">
        <v>1.07</v>
      </c>
      <c r="R305" s="289">
        <f t="shared" si="82"/>
        <v>73123.8</v>
      </c>
      <c r="S305" s="292" t="s">
        <v>256</v>
      </c>
      <c r="T305" s="296">
        <f>'Nhan cong'!M$38+'Nhan cong'!M$49</f>
        <v>324005.76923076925</v>
      </c>
      <c r="U305" s="250">
        <f>ROUND((J305+L305+N305+R305+T305),0)</f>
        <v>620150</v>
      </c>
      <c r="V305" s="250">
        <v>666436</v>
      </c>
      <c r="W305" s="250">
        <v>620150</v>
      </c>
      <c r="X305" s="250">
        <v>552263</v>
      </c>
      <c r="Y305" s="293">
        <v>371700</v>
      </c>
      <c r="Z305" s="294"/>
      <c r="AA305" s="251"/>
      <c r="AB305" s="251"/>
    </row>
    <row r="306" spans="1:28" s="295" customFormat="1" ht="15.75">
      <c r="A306" s="284">
        <v>257</v>
      </c>
      <c r="B306" s="284">
        <v>0</v>
      </c>
      <c r="C306" s="284" t="s">
        <v>2819</v>
      </c>
      <c r="D306" s="284" t="s">
        <v>3307</v>
      </c>
      <c r="E306" s="285" t="s">
        <v>2654</v>
      </c>
      <c r="F306" s="286" t="s">
        <v>2820</v>
      </c>
      <c r="G306" s="284">
        <v>280</v>
      </c>
      <c r="H306" s="284">
        <v>10</v>
      </c>
      <c r="I306" s="284">
        <v>0.95</v>
      </c>
      <c r="J306" s="287">
        <f t="shared" si="79"/>
        <v>142907.14285714284</v>
      </c>
      <c r="K306" s="288">
        <v>2.3</v>
      </c>
      <c r="L306" s="289">
        <f t="shared" si="80"/>
        <v>34598.571428571435</v>
      </c>
      <c r="M306" s="288">
        <v>5</v>
      </c>
      <c r="N306" s="289">
        <f t="shared" si="81"/>
        <v>75214.28571428571</v>
      </c>
      <c r="O306" s="290">
        <v>72</v>
      </c>
      <c r="P306" s="291" t="s">
        <v>433</v>
      </c>
      <c r="Q306" s="288">
        <v>1.07</v>
      </c>
      <c r="R306" s="289">
        <f t="shared" si="82"/>
        <v>87748.56000000001</v>
      </c>
      <c r="S306" s="292" t="s">
        <v>256</v>
      </c>
      <c r="T306" s="296">
        <f>'Nhan cong'!M$38+'Nhan cong'!M$49</f>
        <v>324005.76923076925</v>
      </c>
      <c r="U306" s="250">
        <f>ROUND((J306+L306+N306+R306+T306),0)+1</f>
        <v>664475</v>
      </c>
      <c r="V306" s="250">
        <v>710761</v>
      </c>
      <c r="W306" s="250">
        <v>664475</v>
      </c>
      <c r="X306" s="250">
        <v>596588</v>
      </c>
      <c r="Y306" s="293">
        <v>421200</v>
      </c>
      <c r="Z306" s="294">
        <v>1</v>
      </c>
      <c r="AA306" s="251"/>
      <c r="AB306" s="251"/>
    </row>
    <row r="307" spans="1:28" s="295" customFormat="1" ht="15.75">
      <c r="A307" s="284">
        <v>258</v>
      </c>
      <c r="B307" s="284">
        <v>0</v>
      </c>
      <c r="C307" s="284" t="s">
        <v>2821</v>
      </c>
      <c r="D307" s="284" t="s">
        <v>3308</v>
      </c>
      <c r="E307" s="285" t="s">
        <v>2655</v>
      </c>
      <c r="F307" s="286" t="s">
        <v>2822</v>
      </c>
      <c r="G307" s="284">
        <v>280</v>
      </c>
      <c r="H307" s="284">
        <v>10</v>
      </c>
      <c r="I307" s="284">
        <v>0.95</v>
      </c>
      <c r="J307" s="287">
        <f t="shared" si="79"/>
        <v>171475</v>
      </c>
      <c r="K307" s="288">
        <v>2.3</v>
      </c>
      <c r="L307" s="289">
        <f t="shared" si="80"/>
        <v>41514.99999999999</v>
      </c>
      <c r="M307" s="288">
        <v>5</v>
      </c>
      <c r="N307" s="289">
        <f t="shared" si="81"/>
        <v>90250</v>
      </c>
      <c r="O307" s="290">
        <v>84</v>
      </c>
      <c r="P307" s="291" t="s">
        <v>433</v>
      </c>
      <c r="Q307" s="288">
        <v>1.07</v>
      </c>
      <c r="R307" s="289">
        <f t="shared" si="82"/>
        <v>102373.32</v>
      </c>
      <c r="S307" s="292" t="s">
        <v>261</v>
      </c>
      <c r="T307" s="296">
        <f>'Nhan cong'!M$38+'Nhan cong'!M$50</f>
        <v>357589.6153846154</v>
      </c>
      <c r="U307" s="250">
        <f>ROUND((J307+L307+N307+R307+T307),0)</f>
        <v>763203</v>
      </c>
      <c r="V307" s="250">
        <v>814287</v>
      </c>
      <c r="W307" s="250">
        <v>763203</v>
      </c>
      <c r="X307" s="250">
        <v>688279</v>
      </c>
      <c r="Y307" s="293">
        <v>505400</v>
      </c>
      <c r="Z307" s="294"/>
      <c r="AA307" s="251"/>
      <c r="AB307" s="251"/>
    </row>
    <row r="308" spans="1:28" s="295" customFormat="1" ht="15.75">
      <c r="A308" s="284">
        <v>259</v>
      </c>
      <c r="B308" s="284">
        <v>0</v>
      </c>
      <c r="C308" s="284" t="s">
        <v>2823</v>
      </c>
      <c r="D308" s="284" t="s">
        <v>3309</v>
      </c>
      <c r="E308" s="285" t="s">
        <v>2656</v>
      </c>
      <c r="F308" s="286" t="s">
        <v>2824</v>
      </c>
      <c r="G308" s="284">
        <v>280</v>
      </c>
      <c r="H308" s="284">
        <v>10</v>
      </c>
      <c r="I308" s="284">
        <v>0.95</v>
      </c>
      <c r="J308" s="287">
        <f t="shared" si="79"/>
        <v>213173.2142857143</v>
      </c>
      <c r="K308" s="288">
        <v>2.3</v>
      </c>
      <c r="L308" s="289">
        <f t="shared" si="80"/>
        <v>51610.35714285714</v>
      </c>
      <c r="M308" s="288">
        <v>5</v>
      </c>
      <c r="N308" s="289">
        <f t="shared" si="81"/>
        <v>112196.42857142857</v>
      </c>
      <c r="O308" s="290">
        <v>108</v>
      </c>
      <c r="P308" s="291" t="s">
        <v>433</v>
      </c>
      <c r="Q308" s="288">
        <v>1.07</v>
      </c>
      <c r="R308" s="289">
        <f t="shared" si="82"/>
        <v>131622.84</v>
      </c>
      <c r="S308" s="292" t="s">
        <v>261</v>
      </c>
      <c r="T308" s="296">
        <f>'Nhan cong'!M$38+'Nhan cong'!M$50</f>
        <v>357589.6153846154</v>
      </c>
      <c r="U308" s="250">
        <f>ROUND((J308+L308+N308+R308+T308),0)+1</f>
        <v>866193</v>
      </c>
      <c r="V308" s="250">
        <v>917277</v>
      </c>
      <c r="W308" s="250">
        <v>866193</v>
      </c>
      <c r="X308" s="250">
        <v>791269</v>
      </c>
      <c r="Y308" s="293">
        <v>628300</v>
      </c>
      <c r="Z308" s="294">
        <v>1</v>
      </c>
      <c r="AA308" s="251"/>
      <c r="AB308" s="251"/>
    </row>
    <row r="309" spans="1:28" s="295" customFormat="1" ht="15.75">
      <c r="A309" s="284">
        <v>260</v>
      </c>
      <c r="B309" s="284" t="s">
        <v>748</v>
      </c>
      <c r="C309" s="284" t="s">
        <v>2825</v>
      </c>
      <c r="D309" s="284" t="s">
        <v>543</v>
      </c>
      <c r="E309" s="285" t="s">
        <v>2657</v>
      </c>
      <c r="F309" s="286" t="s">
        <v>2826</v>
      </c>
      <c r="G309" s="284">
        <v>280</v>
      </c>
      <c r="H309" s="284">
        <v>10</v>
      </c>
      <c r="I309" s="284">
        <v>0.95</v>
      </c>
      <c r="J309" s="287">
        <f t="shared" si="79"/>
        <v>294160.71428571426</v>
      </c>
      <c r="K309" s="288">
        <v>2.1</v>
      </c>
      <c r="L309" s="289">
        <f t="shared" si="80"/>
        <v>65025.00000000001</v>
      </c>
      <c r="M309" s="288">
        <v>5</v>
      </c>
      <c r="N309" s="289">
        <f t="shared" si="81"/>
        <v>154821.42857142858</v>
      </c>
      <c r="O309" s="290">
        <v>132</v>
      </c>
      <c r="P309" s="291" t="s">
        <v>433</v>
      </c>
      <c r="Q309" s="288">
        <v>1.07</v>
      </c>
      <c r="R309" s="289">
        <f t="shared" si="82"/>
        <v>160872.36000000002</v>
      </c>
      <c r="S309" s="292" t="s">
        <v>261</v>
      </c>
      <c r="T309" s="296">
        <f>'Nhan cong'!M$38+'Nhan cong'!M$50</f>
        <v>357589.6153846154</v>
      </c>
      <c r="U309" s="250">
        <f>ROUND((J309+L309+N309+R309+T309),0)+1</f>
        <v>1032470</v>
      </c>
      <c r="V309" s="250">
        <v>1083554</v>
      </c>
      <c r="W309" s="250">
        <v>1032470</v>
      </c>
      <c r="X309" s="250">
        <v>957546</v>
      </c>
      <c r="Y309" s="293">
        <v>867000</v>
      </c>
      <c r="Z309" s="294">
        <v>1</v>
      </c>
      <c r="AA309" s="251"/>
      <c r="AB309" s="251"/>
    </row>
    <row r="310" spans="1:28" s="295" customFormat="1" ht="15.75">
      <c r="A310" s="284">
        <v>261</v>
      </c>
      <c r="B310" s="284" t="s">
        <v>749</v>
      </c>
      <c r="C310" s="284" t="s">
        <v>2827</v>
      </c>
      <c r="D310" s="284" t="s">
        <v>550</v>
      </c>
      <c r="E310" s="285" t="s">
        <v>2658</v>
      </c>
      <c r="F310" s="286" t="s">
        <v>2828</v>
      </c>
      <c r="G310" s="284">
        <v>280</v>
      </c>
      <c r="H310" s="284">
        <v>10</v>
      </c>
      <c r="I310" s="284">
        <v>0.95</v>
      </c>
      <c r="J310" s="287">
        <f t="shared" si="79"/>
        <v>338267.85714285716</v>
      </c>
      <c r="K310" s="288">
        <v>2.1</v>
      </c>
      <c r="L310" s="289">
        <f t="shared" si="80"/>
        <v>74775</v>
      </c>
      <c r="M310" s="288">
        <v>5</v>
      </c>
      <c r="N310" s="289">
        <f t="shared" si="81"/>
        <v>178035.7142857143</v>
      </c>
      <c r="O310" s="290">
        <v>144</v>
      </c>
      <c r="P310" s="291" t="s">
        <v>433</v>
      </c>
      <c r="Q310" s="288">
        <v>1.07</v>
      </c>
      <c r="R310" s="289">
        <f t="shared" si="82"/>
        <v>175497.12000000002</v>
      </c>
      <c r="S310" s="292" t="s">
        <v>261</v>
      </c>
      <c r="T310" s="296">
        <f>'Nhan cong'!M$38+'Nhan cong'!M$50</f>
        <v>357589.6153846154</v>
      </c>
      <c r="U310" s="250">
        <f>ROUND((J310+L310+N310+R310+T310),0)+1</f>
        <v>1124166</v>
      </c>
      <c r="V310" s="250">
        <v>1175250</v>
      </c>
      <c r="W310" s="250">
        <v>1124166</v>
      </c>
      <c r="X310" s="250">
        <v>1049242</v>
      </c>
      <c r="Y310" s="293">
        <v>997000</v>
      </c>
      <c r="Z310" s="294">
        <v>1</v>
      </c>
      <c r="AA310" s="251"/>
      <c r="AB310" s="251"/>
    </row>
    <row r="311" spans="1:28" s="295" customFormat="1" ht="15.75">
      <c r="A311" s="284">
        <v>262</v>
      </c>
      <c r="B311" s="284" t="s">
        <v>750</v>
      </c>
      <c r="C311" s="284" t="s">
        <v>2829</v>
      </c>
      <c r="D311" s="284" t="s">
        <v>3310</v>
      </c>
      <c r="E311" s="285" t="s">
        <v>2659</v>
      </c>
      <c r="F311" s="286" t="s">
        <v>2830</v>
      </c>
      <c r="G311" s="284">
        <v>280</v>
      </c>
      <c r="H311" s="284">
        <v>10</v>
      </c>
      <c r="I311" s="284">
        <v>0.95</v>
      </c>
      <c r="J311" s="287">
        <f t="shared" si="79"/>
        <v>439816.0714285714</v>
      </c>
      <c r="K311" s="288">
        <v>2.1</v>
      </c>
      <c r="L311" s="289">
        <f t="shared" si="80"/>
        <v>97222.50000000001</v>
      </c>
      <c r="M311" s="288">
        <v>5</v>
      </c>
      <c r="N311" s="289">
        <f t="shared" si="81"/>
        <v>231482.14285714287</v>
      </c>
      <c r="O311" s="290">
        <v>168</v>
      </c>
      <c r="P311" s="291" t="s">
        <v>433</v>
      </c>
      <c r="Q311" s="288">
        <v>1.07</v>
      </c>
      <c r="R311" s="289">
        <f t="shared" si="82"/>
        <v>204746.64</v>
      </c>
      <c r="S311" s="292" t="s">
        <v>261</v>
      </c>
      <c r="T311" s="296">
        <f>'Nhan cong'!M$38+'Nhan cong'!M$50</f>
        <v>357589.6153846154</v>
      </c>
      <c r="U311" s="250">
        <f>ROUND((J311+L311+N311+R311+T311),0)+1</f>
        <v>1330858</v>
      </c>
      <c r="V311" s="250">
        <v>1381941</v>
      </c>
      <c r="W311" s="250">
        <v>1330858</v>
      </c>
      <c r="X311" s="250">
        <v>1255933</v>
      </c>
      <c r="Y311" s="293">
        <v>1296300</v>
      </c>
      <c r="Z311" s="294">
        <v>1</v>
      </c>
      <c r="AA311" s="251"/>
      <c r="AB311" s="251"/>
    </row>
    <row r="312" spans="1:28" s="295" customFormat="1" ht="15.75">
      <c r="A312" s="284">
        <v>263</v>
      </c>
      <c r="B312" s="284">
        <v>0</v>
      </c>
      <c r="C312" s="284" t="s">
        <v>2831</v>
      </c>
      <c r="D312" s="284" t="s">
        <v>3311</v>
      </c>
      <c r="E312" s="285" t="s">
        <v>2660</v>
      </c>
      <c r="F312" s="286" t="s">
        <v>2832</v>
      </c>
      <c r="G312" s="284">
        <v>280</v>
      </c>
      <c r="H312" s="284">
        <v>10</v>
      </c>
      <c r="I312" s="284">
        <v>0.95</v>
      </c>
      <c r="J312" s="287">
        <f t="shared" si="79"/>
        <v>567828.5714285715</v>
      </c>
      <c r="K312" s="288">
        <v>2</v>
      </c>
      <c r="L312" s="289">
        <f t="shared" si="80"/>
        <v>119542.85714285714</v>
      </c>
      <c r="M312" s="288">
        <v>5</v>
      </c>
      <c r="N312" s="289">
        <f t="shared" si="81"/>
        <v>298857.14285714284</v>
      </c>
      <c r="O312" s="290">
        <v>204</v>
      </c>
      <c r="P312" s="291" t="s">
        <v>433</v>
      </c>
      <c r="Q312" s="288">
        <v>1.07</v>
      </c>
      <c r="R312" s="289">
        <f t="shared" si="82"/>
        <v>248620.92</v>
      </c>
      <c r="S312" s="292" t="s">
        <v>261</v>
      </c>
      <c r="T312" s="296">
        <f>'Nhan cong'!M$38+'Nhan cong'!M$50</f>
        <v>357589.6153846154</v>
      </c>
      <c r="U312" s="250">
        <f>ROUND((J312+L312+N312+R312+T312),0)+1</f>
        <v>1592440</v>
      </c>
      <c r="V312" s="250">
        <v>1643523</v>
      </c>
      <c r="W312" s="250">
        <v>1592440</v>
      </c>
      <c r="X312" s="250">
        <v>1517515</v>
      </c>
      <c r="Y312" s="293">
        <v>1673600</v>
      </c>
      <c r="Z312" s="294">
        <v>1</v>
      </c>
      <c r="AA312" s="251"/>
      <c r="AB312" s="251"/>
    </row>
    <row r="313" spans="1:28" s="295" customFormat="1" ht="15.75">
      <c r="A313" s="297"/>
      <c r="B313" s="284"/>
      <c r="C313" s="298"/>
      <c r="D313" s="284"/>
      <c r="E313" s="272"/>
      <c r="F313" s="151" t="s">
        <v>2833</v>
      </c>
      <c r="G313" s="284"/>
      <c r="H313" s="284"/>
      <c r="I313" s="284"/>
      <c r="J313" s="299"/>
      <c r="K313" s="288"/>
      <c r="L313" s="289"/>
      <c r="M313" s="288"/>
      <c r="N313" s="300"/>
      <c r="O313" s="290"/>
      <c r="P313" s="291"/>
      <c r="Q313" s="288"/>
      <c r="R313" s="300"/>
      <c r="S313" s="292"/>
      <c r="T313" s="296"/>
      <c r="U313" s="250"/>
      <c r="V313" s="250"/>
      <c r="W313" s="250"/>
      <c r="X313" s="250"/>
      <c r="Y313" s="293"/>
      <c r="Z313" s="385"/>
      <c r="AA313" s="251"/>
      <c r="AB313" s="251"/>
    </row>
    <row r="314" spans="1:28" s="295" customFormat="1" ht="31.5">
      <c r="A314" s="284">
        <v>264</v>
      </c>
      <c r="B314" s="284">
        <v>0</v>
      </c>
      <c r="C314" s="284" t="s">
        <v>2834</v>
      </c>
      <c r="D314" s="284" t="s">
        <v>3312</v>
      </c>
      <c r="E314" s="285" t="s">
        <v>2661</v>
      </c>
      <c r="F314" s="286" t="s">
        <v>2835</v>
      </c>
      <c r="G314" s="284">
        <v>280</v>
      </c>
      <c r="H314" s="284">
        <v>18</v>
      </c>
      <c r="I314" s="284">
        <v>0.95</v>
      </c>
      <c r="J314" s="287">
        <f>Y314*H314%*I314/G314*1000</f>
        <v>37681.07142857142</v>
      </c>
      <c r="K314" s="288">
        <v>4.32</v>
      </c>
      <c r="L314" s="289">
        <f>(Y314*K314%)/G314*1000</f>
        <v>9519.428571428572</v>
      </c>
      <c r="M314" s="288">
        <v>5</v>
      </c>
      <c r="N314" s="289">
        <f>(Y314*M314%)/G314*1000</f>
        <v>11017.857142857143</v>
      </c>
      <c r="O314" s="290">
        <v>8.4</v>
      </c>
      <c r="P314" s="291" t="s">
        <v>433</v>
      </c>
      <c r="Q314" s="288">
        <v>1.07</v>
      </c>
      <c r="R314" s="289">
        <f>O314*dien*Q314</f>
        <v>10237.332</v>
      </c>
      <c r="S314" s="292" t="s">
        <v>295</v>
      </c>
      <c r="T314" s="296">
        <f>'Nhan cong'!M$38</f>
        <v>125620.38461538461</v>
      </c>
      <c r="U314" s="250">
        <f>ROUND((J314+L314+N314+R314+T314),0)</f>
        <v>194076</v>
      </c>
      <c r="V314" s="250">
        <v>212022</v>
      </c>
      <c r="W314" s="250">
        <v>194076</v>
      </c>
      <c r="X314" s="250">
        <v>167756</v>
      </c>
      <c r="Y314" s="293">
        <v>61700</v>
      </c>
      <c r="Z314" s="294"/>
      <c r="AA314" s="251"/>
      <c r="AB314" s="251"/>
    </row>
    <row r="315" spans="1:28" s="295" customFormat="1" ht="31.5">
      <c r="A315" s="284">
        <v>265</v>
      </c>
      <c r="B315" s="284">
        <v>0</v>
      </c>
      <c r="C315" s="284" t="s">
        <v>2836</v>
      </c>
      <c r="D315" s="284" t="s">
        <v>3313</v>
      </c>
      <c r="E315" s="285" t="s">
        <v>2662</v>
      </c>
      <c r="F315" s="286" t="s">
        <v>2837</v>
      </c>
      <c r="G315" s="284">
        <v>280</v>
      </c>
      <c r="H315" s="284">
        <v>18</v>
      </c>
      <c r="I315" s="284">
        <v>0.95</v>
      </c>
      <c r="J315" s="287">
        <f>Y315*H315%*I315/G315*1000</f>
        <v>68338.92857142857</v>
      </c>
      <c r="K315" s="288">
        <v>4.32</v>
      </c>
      <c r="L315" s="289">
        <f>(Y315*K315%)/G315*1000</f>
        <v>17264.571428571428</v>
      </c>
      <c r="M315" s="288">
        <v>5</v>
      </c>
      <c r="N315" s="289">
        <f>(Y315*M315%)/G315*1000</f>
        <v>19982.14285714286</v>
      </c>
      <c r="O315" s="290">
        <v>15.75</v>
      </c>
      <c r="P315" s="291" t="s">
        <v>433</v>
      </c>
      <c r="Q315" s="288">
        <v>1.07</v>
      </c>
      <c r="R315" s="289">
        <f>O315*dien*Q315</f>
        <v>19194.9975</v>
      </c>
      <c r="S315" s="292" t="s">
        <v>295</v>
      </c>
      <c r="T315" s="296">
        <f>'Nhan cong'!M$38</f>
        <v>125620.38461538461</v>
      </c>
      <c r="U315" s="250">
        <f>ROUND((J315+L315+N315+R315+T315),0)</f>
        <v>250401</v>
      </c>
      <c r="V315" s="250">
        <v>268347</v>
      </c>
      <c r="W315" s="250">
        <v>250401</v>
      </c>
      <c r="X315" s="250">
        <v>224081</v>
      </c>
      <c r="Y315" s="293">
        <v>111900</v>
      </c>
      <c r="Z315" s="294"/>
      <c r="AA315" s="251"/>
      <c r="AB315" s="251"/>
    </row>
    <row r="316" spans="1:28" s="295" customFormat="1" ht="31.5">
      <c r="A316" s="284">
        <v>266</v>
      </c>
      <c r="B316" s="284" t="s">
        <v>712</v>
      </c>
      <c r="C316" s="284" t="s">
        <v>2838</v>
      </c>
      <c r="D316" s="284" t="s">
        <v>3314</v>
      </c>
      <c r="E316" s="285" t="s">
        <v>2663</v>
      </c>
      <c r="F316" s="286" t="s">
        <v>2839</v>
      </c>
      <c r="G316" s="284">
        <v>280</v>
      </c>
      <c r="H316" s="284">
        <v>18</v>
      </c>
      <c r="I316" s="284">
        <v>0.95</v>
      </c>
      <c r="J316" s="287">
        <f>Y316*H316%*I316/G316*1000</f>
        <v>99973.92857142857</v>
      </c>
      <c r="K316" s="288">
        <v>4.32</v>
      </c>
      <c r="L316" s="289">
        <f>(Y316*K316%)/G316*1000</f>
        <v>25256.57142857143</v>
      </c>
      <c r="M316" s="288">
        <v>5</v>
      </c>
      <c r="N316" s="289">
        <f>(Y316*M316%)/G316*1000</f>
        <v>29232.14285714286</v>
      </c>
      <c r="O316" s="290">
        <v>21</v>
      </c>
      <c r="P316" s="291" t="s">
        <v>433</v>
      </c>
      <c r="Q316" s="288">
        <v>1.07</v>
      </c>
      <c r="R316" s="289">
        <f>O316*dien*Q316</f>
        <v>25593.33</v>
      </c>
      <c r="S316" s="292" t="s">
        <v>295</v>
      </c>
      <c r="T316" s="296">
        <f>'Nhan cong'!M$38</f>
        <v>125620.38461538461</v>
      </c>
      <c r="U316" s="250">
        <f>ROUND((J316+L316+N316+R316+T316),0)</f>
        <v>305676</v>
      </c>
      <c r="V316" s="250">
        <v>323622</v>
      </c>
      <c r="W316" s="250">
        <v>305676</v>
      </c>
      <c r="X316" s="250">
        <v>279356</v>
      </c>
      <c r="Y316" s="293">
        <v>163700</v>
      </c>
      <c r="Z316" s="294"/>
      <c r="AA316" s="251"/>
      <c r="AB316" s="251"/>
    </row>
    <row r="317" spans="1:28" s="295" customFormat="1" ht="31.5">
      <c r="A317" s="284">
        <v>267</v>
      </c>
      <c r="B317" s="284">
        <v>0</v>
      </c>
      <c r="C317" s="284" t="s">
        <v>2840</v>
      </c>
      <c r="D317" s="284" t="s">
        <v>3315</v>
      </c>
      <c r="E317" s="285" t="s">
        <v>2664</v>
      </c>
      <c r="F317" s="286" t="s">
        <v>2841</v>
      </c>
      <c r="G317" s="284">
        <v>280</v>
      </c>
      <c r="H317" s="284">
        <v>17</v>
      </c>
      <c r="I317" s="284">
        <v>0.95</v>
      </c>
      <c r="J317" s="287">
        <f>Y317*H317%*I317/G317*1000</f>
        <v>126373.75</v>
      </c>
      <c r="K317" s="288">
        <v>4.08</v>
      </c>
      <c r="L317" s="289">
        <f>(Y317*K317%)/G317*1000</f>
        <v>31926.000000000004</v>
      </c>
      <c r="M317" s="288">
        <v>5</v>
      </c>
      <c r="N317" s="289">
        <f>(Y317*M317%)/G317*1000</f>
        <v>39125</v>
      </c>
      <c r="O317" s="290">
        <v>31.5</v>
      </c>
      <c r="P317" s="291" t="s">
        <v>433</v>
      </c>
      <c r="Q317" s="288">
        <v>1.07</v>
      </c>
      <c r="R317" s="289">
        <f>O317*dien*Q317</f>
        <v>38389.995</v>
      </c>
      <c r="S317" s="292" t="s">
        <v>295</v>
      </c>
      <c r="T317" s="296">
        <f>'Nhan cong'!M$38</f>
        <v>125620.38461538461</v>
      </c>
      <c r="U317" s="250">
        <f>ROUND((J317+L317+N317+R317+T317),0)</f>
        <v>361435</v>
      </c>
      <c r="V317" s="250">
        <v>379381</v>
      </c>
      <c r="W317" s="250">
        <v>361435</v>
      </c>
      <c r="X317" s="250">
        <v>335115</v>
      </c>
      <c r="Y317" s="293">
        <v>219100</v>
      </c>
      <c r="Z317" s="294"/>
      <c r="AA317" s="251"/>
      <c r="AB317" s="251"/>
    </row>
    <row r="318" spans="1:28" s="295" customFormat="1" ht="31.5">
      <c r="A318" s="297">
        <v>268</v>
      </c>
      <c r="B318" s="284" t="s">
        <v>713</v>
      </c>
      <c r="C318" s="298" t="s">
        <v>2842</v>
      </c>
      <c r="D318" s="284" t="s">
        <v>3316</v>
      </c>
      <c r="E318" s="285" t="s">
        <v>3160</v>
      </c>
      <c r="F318" s="286" t="s">
        <v>2843</v>
      </c>
      <c r="G318" s="284">
        <v>280</v>
      </c>
      <c r="H318" s="284">
        <v>17</v>
      </c>
      <c r="I318" s="284">
        <v>0.95</v>
      </c>
      <c r="J318" s="287">
        <f>Y318*H318%*I318/G318*1000</f>
        <v>145350</v>
      </c>
      <c r="K318" s="301">
        <v>4.08</v>
      </c>
      <c r="L318" s="289">
        <f>(Y318*K318%)/G318*1000</f>
        <v>36720</v>
      </c>
      <c r="M318" s="301">
        <v>5</v>
      </c>
      <c r="N318" s="289">
        <f>(Y318*M318%)/G318*1000</f>
        <v>45000</v>
      </c>
      <c r="O318" s="302">
        <v>8.4</v>
      </c>
      <c r="P318" s="272" t="s">
        <v>433</v>
      </c>
      <c r="Q318" s="288">
        <v>1.07</v>
      </c>
      <c r="R318" s="289">
        <f>O318*dien*Q318</f>
        <v>10237.332</v>
      </c>
      <c r="S318" s="284" t="s">
        <v>295</v>
      </c>
      <c r="T318" s="296">
        <f>Nii3</f>
        <v>125620.38461538461</v>
      </c>
      <c r="U318" s="250">
        <f>ROUND((J318+L318+N318+R318+T318),0)</f>
        <v>362928</v>
      </c>
      <c r="V318" s="250">
        <v>418654</v>
      </c>
      <c r="W318" s="250">
        <v>400708</v>
      </c>
      <c r="X318" s="251">
        <v>374388</v>
      </c>
      <c r="Y318" s="293">
        <v>252000</v>
      </c>
      <c r="Z318" s="294"/>
      <c r="AA318" s="251">
        <v>400708</v>
      </c>
      <c r="AB318" s="251"/>
    </row>
    <row r="319" spans="1:28" s="295" customFormat="1" ht="15.75">
      <c r="A319" s="297"/>
      <c r="B319" s="284"/>
      <c r="C319" s="298"/>
      <c r="D319" s="284"/>
      <c r="E319" s="272"/>
      <c r="F319" s="149" t="s">
        <v>2844</v>
      </c>
      <c r="G319" s="284"/>
      <c r="H319" s="284"/>
      <c r="I319" s="284"/>
      <c r="J319" s="299"/>
      <c r="K319" s="301"/>
      <c r="L319" s="289"/>
      <c r="M319" s="301"/>
      <c r="N319" s="300"/>
      <c r="O319" s="302"/>
      <c r="P319" s="272"/>
      <c r="Q319" s="288"/>
      <c r="R319" s="300"/>
      <c r="S319" s="284"/>
      <c r="T319" s="296"/>
      <c r="U319" s="250"/>
      <c r="V319" s="250"/>
      <c r="W319" s="250"/>
      <c r="X319" s="250"/>
      <c r="Y319" s="293"/>
      <c r="Z319" s="385"/>
      <c r="AA319" s="251"/>
      <c r="AB319" s="251"/>
    </row>
    <row r="320" spans="1:28" s="295" customFormat="1" ht="31.5">
      <c r="A320" s="284">
        <v>269</v>
      </c>
      <c r="B320" s="284" t="s">
        <v>714</v>
      </c>
      <c r="C320" s="284" t="s">
        <v>2845</v>
      </c>
      <c r="D320" s="284" t="s">
        <v>3317</v>
      </c>
      <c r="E320" s="285" t="s">
        <v>2665</v>
      </c>
      <c r="F320" s="286" t="s">
        <v>2843</v>
      </c>
      <c r="G320" s="284">
        <v>280</v>
      </c>
      <c r="H320" s="284">
        <v>17</v>
      </c>
      <c r="I320" s="284">
        <v>0.95</v>
      </c>
      <c r="J320" s="287">
        <f>Y320*H320%*I320/G320*1000</f>
        <v>296986.96428571426</v>
      </c>
      <c r="K320" s="301">
        <v>4.08</v>
      </c>
      <c r="L320" s="289">
        <f>(Y320*K320%)/G320*1000</f>
        <v>75028.28571428571</v>
      </c>
      <c r="M320" s="301">
        <v>5</v>
      </c>
      <c r="N320" s="289">
        <f>(Y320*M320%)/G320*1000</f>
        <v>91946.42857142857</v>
      </c>
      <c r="O320" s="302">
        <v>47.3</v>
      </c>
      <c r="P320" s="272" t="s">
        <v>433</v>
      </c>
      <c r="Q320" s="288">
        <v>1.07</v>
      </c>
      <c r="R320" s="289">
        <f>O320*dien*Q320</f>
        <v>57645.929000000004</v>
      </c>
      <c r="S320" s="284" t="s">
        <v>295</v>
      </c>
      <c r="T320" s="296">
        <f>Nii3</f>
        <v>125620.38461538461</v>
      </c>
      <c r="U320" s="250">
        <f>ROUND((J320+L320+N320+R320+T320),0)</f>
        <v>647228</v>
      </c>
      <c r="V320" s="250">
        <v>665174</v>
      </c>
      <c r="W320" s="250">
        <v>647228</v>
      </c>
      <c r="X320" s="250">
        <v>620908</v>
      </c>
      <c r="Y320" s="293">
        <v>514900</v>
      </c>
      <c r="Z320" s="294"/>
      <c r="AA320" s="251"/>
      <c r="AB320" s="251"/>
    </row>
    <row r="321" spans="1:28" s="295" customFormat="1" ht="15.75">
      <c r="A321" s="297"/>
      <c r="B321" s="284"/>
      <c r="C321" s="298"/>
      <c r="D321" s="284"/>
      <c r="E321" s="272"/>
      <c r="F321" s="151" t="s">
        <v>2846</v>
      </c>
      <c r="G321" s="284"/>
      <c r="H321" s="284"/>
      <c r="I321" s="284"/>
      <c r="J321" s="299"/>
      <c r="K321" s="288"/>
      <c r="L321" s="289"/>
      <c r="M321" s="288"/>
      <c r="N321" s="300"/>
      <c r="O321" s="290"/>
      <c r="P321" s="291"/>
      <c r="Q321" s="288"/>
      <c r="R321" s="300"/>
      <c r="S321" s="292"/>
      <c r="T321" s="296"/>
      <c r="U321" s="250"/>
      <c r="V321" s="250"/>
      <c r="W321" s="250"/>
      <c r="X321" s="250"/>
      <c r="Y321" s="293"/>
      <c r="Z321" s="385"/>
      <c r="AA321" s="251"/>
      <c r="AB321" s="251"/>
    </row>
    <row r="322" spans="1:28" s="295" customFormat="1" ht="15.75">
      <c r="A322" s="284">
        <v>270</v>
      </c>
      <c r="B322" s="284">
        <v>0</v>
      </c>
      <c r="C322" s="284" t="s">
        <v>2847</v>
      </c>
      <c r="D322" s="284" t="s">
        <v>503</v>
      </c>
      <c r="E322" s="285" t="s">
        <v>2666</v>
      </c>
      <c r="F322" s="286" t="s">
        <v>2848</v>
      </c>
      <c r="G322" s="284">
        <v>180</v>
      </c>
      <c r="H322" s="284">
        <v>20</v>
      </c>
      <c r="I322" s="284">
        <v>1</v>
      </c>
      <c r="J322" s="287">
        <f>Y322*H322%*I322/G322*1000</f>
        <v>9555.555555555555</v>
      </c>
      <c r="K322" s="288">
        <v>4.8</v>
      </c>
      <c r="L322" s="289">
        <f>(Y322*K322%)/G322*1000</f>
        <v>2293.3333333333335</v>
      </c>
      <c r="M322" s="288">
        <v>5</v>
      </c>
      <c r="N322" s="289">
        <f>(Y322*M322%)/G322*1000</f>
        <v>2388.8888888888887</v>
      </c>
      <c r="O322" s="290">
        <v>3.6</v>
      </c>
      <c r="P322" s="291" t="s">
        <v>433</v>
      </c>
      <c r="Q322" s="288">
        <v>1.07</v>
      </c>
      <c r="R322" s="289">
        <f>O322*dien*Q322</f>
        <v>4387.428000000001</v>
      </c>
      <c r="S322" s="292" t="s">
        <v>295</v>
      </c>
      <c r="T322" s="296">
        <f>'Nhan cong'!M$38</f>
        <v>125620.38461538461</v>
      </c>
      <c r="U322" s="250">
        <f>ROUND((J322+L322+N322+R322+T322),0)-1</f>
        <v>144245</v>
      </c>
      <c r="V322" s="250">
        <v>162191</v>
      </c>
      <c r="W322" s="250">
        <v>144245</v>
      </c>
      <c r="X322" s="250">
        <v>117925</v>
      </c>
      <c r="Y322" s="293">
        <v>8600</v>
      </c>
      <c r="Z322" s="294"/>
      <c r="AA322" s="251"/>
      <c r="AB322" s="251"/>
    </row>
    <row r="323" spans="1:28" s="295" customFormat="1" ht="15.75">
      <c r="A323" s="297"/>
      <c r="B323" s="284"/>
      <c r="C323" s="298"/>
      <c r="D323" s="284"/>
      <c r="E323" s="272"/>
      <c r="F323" s="151" t="s">
        <v>2849</v>
      </c>
      <c r="G323" s="284"/>
      <c r="H323" s="284"/>
      <c r="I323" s="284"/>
      <c r="J323" s="299"/>
      <c r="K323" s="288"/>
      <c r="L323" s="289"/>
      <c r="M323" s="288"/>
      <c r="N323" s="300"/>
      <c r="O323" s="290"/>
      <c r="P323" s="291"/>
      <c r="Q323" s="288"/>
      <c r="R323" s="300"/>
      <c r="S323" s="292"/>
      <c r="T323" s="296"/>
      <c r="U323" s="250"/>
      <c r="V323" s="250"/>
      <c r="W323" s="250"/>
      <c r="X323" s="250"/>
      <c r="Y323" s="293"/>
      <c r="Z323" s="385"/>
      <c r="AA323" s="251"/>
      <c r="AB323" s="251"/>
    </row>
    <row r="324" spans="1:28" s="295" customFormat="1" ht="15.75">
      <c r="A324" s="284">
        <v>271</v>
      </c>
      <c r="B324" s="284">
        <v>0</v>
      </c>
      <c r="C324" s="284" t="s">
        <v>2850</v>
      </c>
      <c r="D324" s="284" t="s">
        <v>3318</v>
      </c>
      <c r="E324" s="285" t="s">
        <v>2667</v>
      </c>
      <c r="F324" s="286" t="s">
        <v>2848</v>
      </c>
      <c r="G324" s="284">
        <v>230</v>
      </c>
      <c r="H324" s="284">
        <v>17</v>
      </c>
      <c r="I324" s="284">
        <v>1</v>
      </c>
      <c r="J324" s="287">
        <f aca="true" t="shared" si="83" ref="J324:J332">Y324*H324%*I324/G324*1000</f>
        <v>3400</v>
      </c>
      <c r="K324" s="288">
        <v>5.1</v>
      </c>
      <c r="L324" s="289">
        <f aca="true" t="shared" si="84" ref="L324:L332">(Y324*K324%)/G324*1000</f>
        <v>1020</v>
      </c>
      <c r="M324" s="288">
        <v>4</v>
      </c>
      <c r="N324" s="289">
        <f aca="true" t="shared" si="85" ref="N324:N332">(Y324*M324%)/G324*1000</f>
        <v>800</v>
      </c>
      <c r="O324" s="290">
        <v>3.78</v>
      </c>
      <c r="P324" s="291" t="s">
        <v>433</v>
      </c>
      <c r="Q324" s="288">
        <v>1.07</v>
      </c>
      <c r="R324" s="289">
        <f aca="true" t="shared" si="86" ref="R324:R332">O324*dien*Q324</f>
        <v>4606.799400000001</v>
      </c>
      <c r="S324" s="292" t="s">
        <v>295</v>
      </c>
      <c r="T324" s="296">
        <f>'Nhan cong'!M$38</f>
        <v>125620.38461538461</v>
      </c>
      <c r="U324" s="250">
        <f>ROUND((J324+L324+N324+R324+T324),0)</f>
        <v>135447</v>
      </c>
      <c r="V324" s="250">
        <v>153393</v>
      </c>
      <c r="W324" s="250">
        <v>135447</v>
      </c>
      <c r="X324" s="250">
        <v>109127</v>
      </c>
      <c r="Y324" s="293">
        <v>4600</v>
      </c>
      <c r="Z324" s="294"/>
      <c r="AA324" s="251"/>
      <c r="AB324" s="251"/>
    </row>
    <row r="325" spans="1:28" s="295" customFormat="1" ht="15.75">
      <c r="A325" s="284">
        <v>272</v>
      </c>
      <c r="B325" s="284">
        <v>0</v>
      </c>
      <c r="C325" s="284" t="s">
        <v>2851</v>
      </c>
      <c r="D325" s="284" t="s">
        <v>3319</v>
      </c>
      <c r="E325" s="285" t="s">
        <v>2668</v>
      </c>
      <c r="F325" s="286" t="s">
        <v>976</v>
      </c>
      <c r="G325" s="284">
        <v>230</v>
      </c>
      <c r="H325" s="284">
        <v>17</v>
      </c>
      <c r="I325" s="284">
        <v>1</v>
      </c>
      <c r="J325" s="287">
        <f t="shared" si="83"/>
        <v>4360.869565217392</v>
      </c>
      <c r="K325" s="288">
        <v>5.1</v>
      </c>
      <c r="L325" s="289">
        <f t="shared" si="84"/>
        <v>1308.2608695652173</v>
      </c>
      <c r="M325" s="288">
        <v>4</v>
      </c>
      <c r="N325" s="289">
        <f t="shared" si="85"/>
        <v>1026.0869565217392</v>
      </c>
      <c r="O325" s="290">
        <v>4.5</v>
      </c>
      <c r="P325" s="291" t="s">
        <v>433</v>
      </c>
      <c r="Q325" s="288">
        <v>1.07</v>
      </c>
      <c r="R325" s="289">
        <f t="shared" si="86"/>
        <v>5484.285000000001</v>
      </c>
      <c r="S325" s="292" t="s">
        <v>295</v>
      </c>
      <c r="T325" s="296">
        <f>'Nhan cong'!M$38</f>
        <v>125620.38461538461</v>
      </c>
      <c r="U325" s="250">
        <f>ROUND((J325+L325+N325+R325+T325),0)</f>
        <v>137800</v>
      </c>
      <c r="V325" s="250">
        <v>155746</v>
      </c>
      <c r="W325" s="250">
        <v>137800</v>
      </c>
      <c r="X325" s="250">
        <v>111480</v>
      </c>
      <c r="Y325" s="293">
        <v>5900</v>
      </c>
      <c r="Z325" s="294"/>
      <c r="AA325" s="251"/>
      <c r="AB325" s="251"/>
    </row>
    <row r="326" spans="1:28" s="295" customFormat="1" ht="15.75">
      <c r="A326" s="284">
        <v>273</v>
      </c>
      <c r="B326" s="284" t="s">
        <v>698</v>
      </c>
      <c r="C326" s="284" t="s">
        <v>2852</v>
      </c>
      <c r="D326" s="284" t="s">
        <v>3320</v>
      </c>
      <c r="E326" s="285" t="s">
        <v>2669</v>
      </c>
      <c r="F326" s="286" t="s">
        <v>1785</v>
      </c>
      <c r="G326" s="284">
        <v>230</v>
      </c>
      <c r="H326" s="284">
        <v>17</v>
      </c>
      <c r="I326" s="284">
        <v>0.95</v>
      </c>
      <c r="J326" s="287">
        <f t="shared" si="83"/>
        <v>11515.652173913044</v>
      </c>
      <c r="K326" s="288">
        <v>4.59</v>
      </c>
      <c r="L326" s="289">
        <f t="shared" si="84"/>
        <v>3272.869565217391</v>
      </c>
      <c r="M326" s="288">
        <v>4</v>
      </c>
      <c r="N326" s="289">
        <f t="shared" si="85"/>
        <v>2852.173913043478</v>
      </c>
      <c r="O326" s="290">
        <v>5.58</v>
      </c>
      <c r="P326" s="291" t="s">
        <v>433</v>
      </c>
      <c r="Q326" s="288">
        <v>1.07</v>
      </c>
      <c r="R326" s="289">
        <f t="shared" si="86"/>
        <v>6800.513400000001</v>
      </c>
      <c r="S326" s="292" t="s">
        <v>295</v>
      </c>
      <c r="T326" s="296">
        <f>'Nhan cong'!M$38</f>
        <v>125620.38461538461</v>
      </c>
      <c r="U326" s="250">
        <f>ROUND((J326+L326+N326+R326+T326),0)-1</f>
        <v>150061</v>
      </c>
      <c r="V326" s="250">
        <v>168007</v>
      </c>
      <c r="W326" s="250">
        <v>150061</v>
      </c>
      <c r="X326" s="250">
        <v>123741</v>
      </c>
      <c r="Y326" s="293">
        <v>16400</v>
      </c>
      <c r="Z326" s="294">
        <v>-1</v>
      </c>
      <c r="AA326" s="251"/>
      <c r="AB326" s="251"/>
    </row>
    <row r="327" spans="1:28" s="295" customFormat="1" ht="15.75">
      <c r="A327" s="284">
        <v>274</v>
      </c>
      <c r="B327" s="284">
        <v>0</v>
      </c>
      <c r="C327" s="284" t="s">
        <v>2853</v>
      </c>
      <c r="D327" s="284" t="s">
        <v>3321</v>
      </c>
      <c r="E327" s="285" t="s">
        <v>2670</v>
      </c>
      <c r="F327" s="286" t="s">
        <v>1787</v>
      </c>
      <c r="G327" s="284">
        <v>230</v>
      </c>
      <c r="H327" s="284">
        <v>17</v>
      </c>
      <c r="I327" s="284">
        <v>0.95</v>
      </c>
      <c r="J327" s="287">
        <f t="shared" si="83"/>
        <v>16781.956521739132</v>
      </c>
      <c r="K327" s="288">
        <v>4.59</v>
      </c>
      <c r="L327" s="289">
        <f t="shared" si="84"/>
        <v>4769.608695652174</v>
      </c>
      <c r="M327" s="288">
        <v>4</v>
      </c>
      <c r="N327" s="289">
        <f t="shared" si="85"/>
        <v>4156.521739130435</v>
      </c>
      <c r="O327" s="290">
        <v>6.3</v>
      </c>
      <c r="P327" s="291" t="s">
        <v>433</v>
      </c>
      <c r="Q327" s="288">
        <v>1.07</v>
      </c>
      <c r="R327" s="289">
        <f t="shared" si="86"/>
        <v>7677.999000000001</v>
      </c>
      <c r="S327" s="292" t="s">
        <v>295</v>
      </c>
      <c r="T327" s="296">
        <f>'Nhan cong'!M$38</f>
        <v>125620.38461538461</v>
      </c>
      <c r="U327" s="250">
        <f>ROUND((J327+L327+N327+R327+T327),0)</f>
        <v>159006</v>
      </c>
      <c r="V327" s="250">
        <v>176952</v>
      </c>
      <c r="W327" s="250">
        <v>159006</v>
      </c>
      <c r="X327" s="250">
        <v>132686</v>
      </c>
      <c r="Y327" s="293">
        <v>23900</v>
      </c>
      <c r="Z327" s="294"/>
      <c r="AA327" s="251"/>
      <c r="AB327" s="251"/>
    </row>
    <row r="328" spans="1:28" s="295" customFormat="1" ht="15.75">
      <c r="A328" s="284">
        <v>275</v>
      </c>
      <c r="B328" s="284">
        <v>0</v>
      </c>
      <c r="C328" s="284" t="s">
        <v>2854</v>
      </c>
      <c r="D328" s="284" t="s">
        <v>3322</v>
      </c>
      <c r="E328" s="285" t="s">
        <v>2671</v>
      </c>
      <c r="F328" s="286" t="s">
        <v>2855</v>
      </c>
      <c r="G328" s="284">
        <v>230</v>
      </c>
      <c r="H328" s="284">
        <v>17</v>
      </c>
      <c r="I328" s="284">
        <v>0.95</v>
      </c>
      <c r="J328" s="287">
        <f t="shared" si="83"/>
        <v>22399.347826086956</v>
      </c>
      <c r="K328" s="288">
        <v>4.59</v>
      </c>
      <c r="L328" s="289">
        <f t="shared" si="84"/>
        <v>6366.130434782608</v>
      </c>
      <c r="M328" s="288">
        <v>4</v>
      </c>
      <c r="N328" s="289">
        <f t="shared" si="85"/>
        <v>5547.826086956522</v>
      </c>
      <c r="O328" s="290">
        <v>9.18</v>
      </c>
      <c r="P328" s="291" t="s">
        <v>433</v>
      </c>
      <c r="Q328" s="288">
        <v>1.07</v>
      </c>
      <c r="R328" s="289">
        <f t="shared" si="86"/>
        <v>11187.941400000002</v>
      </c>
      <c r="S328" s="292" t="s">
        <v>295</v>
      </c>
      <c r="T328" s="296">
        <f>'Nhan cong'!M$38</f>
        <v>125620.38461538461</v>
      </c>
      <c r="U328" s="250">
        <f>ROUND((J328+L328+N328+R328+T328),0)-1</f>
        <v>171121</v>
      </c>
      <c r="V328" s="250">
        <v>189067</v>
      </c>
      <c r="W328" s="250">
        <v>171121</v>
      </c>
      <c r="X328" s="250">
        <v>144801</v>
      </c>
      <c r="Y328" s="293">
        <v>31900</v>
      </c>
      <c r="Z328" s="294">
        <v>-1</v>
      </c>
      <c r="AA328" s="251"/>
      <c r="AB328" s="251"/>
    </row>
    <row r="329" spans="1:28" s="295" customFormat="1" ht="15.75">
      <c r="A329" s="284">
        <v>276</v>
      </c>
      <c r="B329" s="284" t="s">
        <v>700</v>
      </c>
      <c r="C329" s="284" t="s">
        <v>2856</v>
      </c>
      <c r="D329" s="284" t="s">
        <v>3323</v>
      </c>
      <c r="E329" s="285" t="s">
        <v>2672</v>
      </c>
      <c r="F329" s="286" t="s">
        <v>979</v>
      </c>
      <c r="G329" s="284">
        <v>230</v>
      </c>
      <c r="H329" s="284">
        <v>17</v>
      </c>
      <c r="I329" s="284">
        <v>0.95</v>
      </c>
      <c r="J329" s="287">
        <f t="shared" si="83"/>
        <v>27103.913043478264</v>
      </c>
      <c r="K329" s="288">
        <v>4.59</v>
      </c>
      <c r="L329" s="289">
        <f t="shared" si="84"/>
        <v>7703.217391304347</v>
      </c>
      <c r="M329" s="288">
        <v>4</v>
      </c>
      <c r="N329" s="289">
        <f t="shared" si="85"/>
        <v>6713.04347826087</v>
      </c>
      <c r="O329" s="290">
        <v>10.8</v>
      </c>
      <c r="P329" s="291" t="s">
        <v>433</v>
      </c>
      <c r="Q329" s="288">
        <v>1.07</v>
      </c>
      <c r="R329" s="289">
        <f t="shared" si="86"/>
        <v>13162.284000000001</v>
      </c>
      <c r="S329" s="292" t="s">
        <v>295</v>
      </c>
      <c r="T329" s="296">
        <f>'Nhan cong'!M$38</f>
        <v>125620.38461538461</v>
      </c>
      <c r="U329" s="250">
        <f>ROUND((J329+L329+N329+R329+T329),0)-1</f>
        <v>180302</v>
      </c>
      <c r="V329" s="250">
        <v>198248</v>
      </c>
      <c r="W329" s="250">
        <v>180302</v>
      </c>
      <c r="X329" s="250">
        <v>153982</v>
      </c>
      <c r="Y329" s="293">
        <v>38600</v>
      </c>
      <c r="Z329" s="294">
        <v>-1</v>
      </c>
      <c r="AA329" s="251"/>
      <c r="AB329" s="251"/>
    </row>
    <row r="330" spans="1:28" s="295" customFormat="1" ht="15.75">
      <c r="A330" s="284">
        <v>277</v>
      </c>
      <c r="B330" s="284" t="s">
        <v>699</v>
      </c>
      <c r="C330" s="284" t="s">
        <v>2857</v>
      </c>
      <c r="D330" s="284" t="s">
        <v>3324</v>
      </c>
      <c r="E330" s="285" t="s">
        <v>2673</v>
      </c>
      <c r="F330" s="286" t="s">
        <v>2858</v>
      </c>
      <c r="G330" s="284">
        <v>230</v>
      </c>
      <c r="H330" s="284">
        <v>17</v>
      </c>
      <c r="I330" s="284">
        <v>0.95</v>
      </c>
      <c r="J330" s="287">
        <f t="shared" si="83"/>
        <v>29842.39130434783</v>
      </c>
      <c r="K330" s="301">
        <v>4.6</v>
      </c>
      <c r="L330" s="289">
        <f t="shared" si="84"/>
        <v>8500</v>
      </c>
      <c r="M330" s="301">
        <v>4</v>
      </c>
      <c r="N330" s="289">
        <f t="shared" si="85"/>
        <v>7391.304347826087</v>
      </c>
      <c r="O330" s="302">
        <v>11.3</v>
      </c>
      <c r="P330" s="272" t="s">
        <v>433</v>
      </c>
      <c r="Q330" s="288">
        <v>1.07</v>
      </c>
      <c r="R330" s="289">
        <f t="shared" si="86"/>
        <v>13771.649000000001</v>
      </c>
      <c r="S330" s="284" t="s">
        <v>295</v>
      </c>
      <c r="T330" s="296">
        <f>Nii3</f>
        <v>125620.38461538461</v>
      </c>
      <c r="U330" s="250">
        <f>ROUND((J330+L330+N330+R330+T330),0)-1</f>
        <v>185125</v>
      </c>
      <c r="V330" s="250">
        <v>203071</v>
      </c>
      <c r="W330" s="250">
        <v>185125</v>
      </c>
      <c r="X330" s="250">
        <v>158805</v>
      </c>
      <c r="Y330" s="293">
        <v>42500</v>
      </c>
      <c r="Z330" s="294">
        <v>-1</v>
      </c>
      <c r="AA330" s="251"/>
      <c r="AB330" s="251"/>
    </row>
    <row r="331" spans="1:28" s="295" customFormat="1" ht="15.75">
      <c r="A331" s="284">
        <v>278</v>
      </c>
      <c r="B331" s="284">
        <v>0</v>
      </c>
      <c r="C331" s="284" t="s">
        <v>2859</v>
      </c>
      <c r="D331" s="284" t="s">
        <v>3325</v>
      </c>
      <c r="E331" s="285" t="s">
        <v>2674</v>
      </c>
      <c r="F331" s="286" t="s">
        <v>1789</v>
      </c>
      <c r="G331" s="284">
        <v>230</v>
      </c>
      <c r="H331" s="284">
        <v>17</v>
      </c>
      <c r="I331" s="284">
        <v>0.95</v>
      </c>
      <c r="J331" s="287">
        <f t="shared" si="83"/>
        <v>31316.956521739132</v>
      </c>
      <c r="K331" s="288">
        <v>4.59</v>
      </c>
      <c r="L331" s="289">
        <f t="shared" si="84"/>
        <v>8900.608695652174</v>
      </c>
      <c r="M331" s="288">
        <v>4</v>
      </c>
      <c r="N331" s="289">
        <f t="shared" si="85"/>
        <v>7756.521739130434</v>
      </c>
      <c r="O331" s="290">
        <v>11.7</v>
      </c>
      <c r="P331" s="291" t="s">
        <v>433</v>
      </c>
      <c r="Q331" s="288">
        <v>1.07</v>
      </c>
      <c r="R331" s="289">
        <f t="shared" si="86"/>
        <v>14259.141</v>
      </c>
      <c r="S331" s="292" t="s">
        <v>295</v>
      </c>
      <c r="T331" s="296">
        <f>'Nhan cong'!M$38</f>
        <v>125620.38461538461</v>
      </c>
      <c r="U331" s="250">
        <f>ROUND((J331+L331+N331+R331+T331),0)-1</f>
        <v>187853</v>
      </c>
      <c r="V331" s="250">
        <v>205799</v>
      </c>
      <c r="W331" s="250">
        <v>187853</v>
      </c>
      <c r="X331" s="250">
        <v>161533</v>
      </c>
      <c r="Y331" s="293">
        <v>44600</v>
      </c>
      <c r="Z331" s="294">
        <v>-1</v>
      </c>
      <c r="AA331" s="251"/>
      <c r="AB331" s="251"/>
    </row>
    <row r="332" spans="1:28" s="295" customFormat="1" ht="15.75">
      <c r="A332" s="284">
        <v>279</v>
      </c>
      <c r="B332" s="284" t="s">
        <v>701</v>
      </c>
      <c r="C332" s="284" t="s">
        <v>2860</v>
      </c>
      <c r="D332" s="284" t="s">
        <v>3326</v>
      </c>
      <c r="E332" s="285" t="s">
        <v>2675</v>
      </c>
      <c r="F332" s="286" t="s">
        <v>857</v>
      </c>
      <c r="G332" s="284">
        <v>230</v>
      </c>
      <c r="H332" s="284">
        <v>17</v>
      </c>
      <c r="I332" s="284">
        <v>0.95</v>
      </c>
      <c r="J332" s="287">
        <f t="shared" si="83"/>
        <v>36302.391304347824</v>
      </c>
      <c r="K332" s="288">
        <v>4.59</v>
      </c>
      <c r="L332" s="289">
        <f t="shared" si="84"/>
        <v>10317.521739130434</v>
      </c>
      <c r="M332" s="288">
        <v>4</v>
      </c>
      <c r="N332" s="289">
        <f t="shared" si="85"/>
        <v>8991.304347826088</v>
      </c>
      <c r="O332" s="290">
        <v>13.5</v>
      </c>
      <c r="P332" s="291" t="s">
        <v>433</v>
      </c>
      <c r="Q332" s="288">
        <v>1.07</v>
      </c>
      <c r="R332" s="289">
        <f t="shared" si="86"/>
        <v>16452.855</v>
      </c>
      <c r="S332" s="292" t="s">
        <v>295</v>
      </c>
      <c r="T332" s="296">
        <f>'Nhan cong'!M$38</f>
        <v>125620.38461538461</v>
      </c>
      <c r="U332" s="250">
        <f>ROUND((J332+L332+N332+R332+T332),0)</f>
        <v>197684</v>
      </c>
      <c r="V332" s="250">
        <v>215630</v>
      </c>
      <c r="W332" s="250">
        <v>197684</v>
      </c>
      <c r="X332" s="250">
        <v>171364</v>
      </c>
      <c r="Y332" s="293">
        <v>51700</v>
      </c>
      <c r="Z332" s="294"/>
      <c r="AA332" s="251"/>
      <c r="AB332" s="251"/>
    </row>
    <row r="333" spans="1:28" s="295" customFormat="1" ht="15.75">
      <c r="A333" s="297"/>
      <c r="B333" s="284"/>
      <c r="C333" s="298"/>
      <c r="D333" s="284"/>
      <c r="E333" s="272"/>
      <c r="F333" s="149" t="s">
        <v>2861</v>
      </c>
      <c r="G333" s="284"/>
      <c r="H333" s="284"/>
      <c r="I333" s="284"/>
      <c r="J333" s="299"/>
      <c r="K333" s="301"/>
      <c r="L333" s="289"/>
      <c r="M333" s="301"/>
      <c r="N333" s="300"/>
      <c r="O333" s="302"/>
      <c r="P333" s="272"/>
      <c r="Q333" s="288"/>
      <c r="R333" s="300"/>
      <c r="S333" s="284"/>
      <c r="T333" s="296"/>
      <c r="U333" s="250"/>
      <c r="V333" s="250"/>
      <c r="W333" s="250"/>
      <c r="X333" s="250"/>
      <c r="Y333" s="293"/>
      <c r="Z333" s="385"/>
      <c r="AA333" s="251"/>
      <c r="AB333" s="251"/>
    </row>
    <row r="334" spans="1:28" s="295" customFormat="1" ht="15.75">
      <c r="A334" s="284">
        <v>280</v>
      </c>
      <c r="B334" s="284" t="s">
        <v>672</v>
      </c>
      <c r="C334" s="284" t="s">
        <v>2862</v>
      </c>
      <c r="D334" s="284" t="s">
        <v>3327</v>
      </c>
      <c r="E334" s="285" t="s">
        <v>2676</v>
      </c>
      <c r="F334" s="286" t="s">
        <v>979</v>
      </c>
      <c r="G334" s="284">
        <v>230</v>
      </c>
      <c r="H334" s="284">
        <v>17</v>
      </c>
      <c r="I334" s="284">
        <v>1</v>
      </c>
      <c r="J334" s="287">
        <f>Y334*H334%*I334/G334*1000</f>
        <v>5839.130434782609</v>
      </c>
      <c r="K334" s="301">
        <v>4.6</v>
      </c>
      <c r="L334" s="289">
        <f>(Y334*K334%)/G334*1000</f>
        <v>1579.9999999999998</v>
      </c>
      <c r="M334" s="301">
        <v>4</v>
      </c>
      <c r="N334" s="289">
        <f>(Y334*M334%)/G334*1000</f>
        <v>1373.913043478261</v>
      </c>
      <c r="O334" s="302"/>
      <c r="P334" s="272"/>
      <c r="Q334" s="288"/>
      <c r="R334" s="300">
        <f>+(O334*$AA$2)*(1+$AA$3)</f>
        <v>0</v>
      </c>
      <c r="S334" s="284" t="s">
        <v>295</v>
      </c>
      <c r="T334" s="296">
        <f>Nii3</f>
        <v>125620.38461538461</v>
      </c>
      <c r="U334" s="250">
        <f>ROUND((J334+L334+N334+R334+T334),0)</f>
        <v>134413</v>
      </c>
      <c r="V334" s="250">
        <v>152359</v>
      </c>
      <c r="W334" s="250">
        <v>134413</v>
      </c>
      <c r="X334" s="250">
        <v>108093</v>
      </c>
      <c r="Y334" s="293">
        <v>7900</v>
      </c>
      <c r="Z334" s="294"/>
      <c r="AA334" s="251"/>
      <c r="AB334" s="251"/>
    </row>
    <row r="335" spans="1:28" s="295" customFormat="1" ht="15.75">
      <c r="A335" s="284">
        <v>281</v>
      </c>
      <c r="B335" s="284" t="s">
        <v>673</v>
      </c>
      <c r="C335" s="284" t="s">
        <v>2863</v>
      </c>
      <c r="D335" s="284" t="s">
        <v>3328</v>
      </c>
      <c r="E335" s="285" t="s">
        <v>2677</v>
      </c>
      <c r="F335" s="286" t="s">
        <v>857</v>
      </c>
      <c r="G335" s="284">
        <v>230</v>
      </c>
      <c r="H335" s="284">
        <v>17</v>
      </c>
      <c r="I335" s="284">
        <v>1</v>
      </c>
      <c r="J335" s="287">
        <f>Y335*H335%*I335/G335*1000</f>
        <v>7539.13043478261</v>
      </c>
      <c r="K335" s="301">
        <v>4.2</v>
      </c>
      <c r="L335" s="289">
        <f>(Y335*K335%)/G335*1000</f>
        <v>1862.6086956521742</v>
      </c>
      <c r="M335" s="301">
        <v>4</v>
      </c>
      <c r="N335" s="289">
        <f>(Y335*M335%)/G335*1000</f>
        <v>1773.9130434782608</v>
      </c>
      <c r="O335" s="302"/>
      <c r="P335" s="272"/>
      <c r="Q335" s="288"/>
      <c r="R335" s="300">
        <f>+(O335*$AA$2)*(1+$AA$3)</f>
        <v>0</v>
      </c>
      <c r="S335" s="284" t="s">
        <v>295</v>
      </c>
      <c r="T335" s="296">
        <f>Nii3</f>
        <v>125620.38461538461</v>
      </c>
      <c r="U335" s="250">
        <f>ROUND((J335+L335+N335+R335+T335),0)</f>
        <v>136796</v>
      </c>
      <c r="V335" s="250">
        <v>154365</v>
      </c>
      <c r="W335" s="250">
        <v>136419</v>
      </c>
      <c r="X335" s="250">
        <v>110099</v>
      </c>
      <c r="Y335" s="293">
        <v>10200</v>
      </c>
      <c r="AA335" s="251">
        <v>136419</v>
      </c>
      <c r="AB335" s="251"/>
    </row>
    <row r="336" spans="1:28" s="295" customFormat="1" ht="15.75">
      <c r="A336" s="297"/>
      <c r="B336" s="284"/>
      <c r="C336" s="298"/>
      <c r="D336" s="284"/>
      <c r="E336" s="272"/>
      <c r="F336" s="149" t="s">
        <v>2864</v>
      </c>
      <c r="G336" s="284"/>
      <c r="H336" s="284"/>
      <c r="I336" s="284"/>
      <c r="J336" s="299"/>
      <c r="K336" s="301"/>
      <c r="L336" s="289"/>
      <c r="M336" s="301"/>
      <c r="N336" s="300"/>
      <c r="O336" s="302"/>
      <c r="P336" s="272"/>
      <c r="Q336" s="288"/>
      <c r="R336" s="300"/>
      <c r="S336" s="284"/>
      <c r="T336" s="296"/>
      <c r="U336" s="250"/>
      <c r="V336" s="250"/>
      <c r="W336" s="250"/>
      <c r="X336" s="250"/>
      <c r="Y336" s="293"/>
      <c r="Z336" s="385"/>
      <c r="AA336" s="251"/>
      <c r="AB336" s="251"/>
    </row>
    <row r="337" spans="1:28" s="295" customFormat="1" ht="31.5">
      <c r="A337" s="284">
        <v>282</v>
      </c>
      <c r="B337" s="284" t="s">
        <v>3782</v>
      </c>
      <c r="C337" s="284" t="s">
        <v>2865</v>
      </c>
      <c r="D337" s="284" t="s">
        <v>1148</v>
      </c>
      <c r="E337" s="285" t="s">
        <v>2866</v>
      </c>
      <c r="F337" s="286" t="s">
        <v>2866</v>
      </c>
      <c r="G337" s="284">
        <v>180</v>
      </c>
      <c r="H337" s="284">
        <v>20</v>
      </c>
      <c r="I337" s="284">
        <v>0.95</v>
      </c>
      <c r="J337" s="287">
        <f>Y337*H337%*I337/G337*1000</f>
        <v>580872.2222222222</v>
      </c>
      <c r="K337" s="301">
        <v>4.5</v>
      </c>
      <c r="L337" s="289">
        <f>(Y337*K337%)/G337*1000</f>
        <v>137575</v>
      </c>
      <c r="M337" s="301">
        <v>5</v>
      </c>
      <c r="N337" s="289">
        <f>(Y337*M337%)/G337*1000</f>
        <v>152861.11111111112</v>
      </c>
      <c r="O337" s="302">
        <v>64.6</v>
      </c>
      <c r="P337" s="272" t="s">
        <v>433</v>
      </c>
      <c r="Q337" s="288">
        <v>1.07</v>
      </c>
      <c r="R337" s="289">
        <f>O337*dien*Q337</f>
        <v>78729.958</v>
      </c>
      <c r="S337" s="284" t="s">
        <v>2867</v>
      </c>
      <c r="T337" s="296">
        <f>2*Nii4+Nii5+Nii7</f>
        <v>694316.5384615385</v>
      </c>
      <c r="U337" s="250">
        <f>ROUND((J337+L337+N337+R337+T337),0)</f>
        <v>1644355</v>
      </c>
      <c r="V337" s="250">
        <v>1743543</v>
      </c>
      <c r="W337" s="250">
        <v>1644355</v>
      </c>
      <c r="X337" s="250">
        <v>1498879</v>
      </c>
      <c r="Y337" s="293">
        <v>550300</v>
      </c>
      <c r="Z337" s="294"/>
      <c r="AA337" s="251"/>
      <c r="AB337" s="251"/>
    </row>
    <row r="338" spans="1:28" s="295" customFormat="1" ht="47.25">
      <c r="A338" s="284">
        <v>283</v>
      </c>
      <c r="B338" s="284" t="s">
        <v>3781</v>
      </c>
      <c r="C338" s="284" t="s">
        <v>2868</v>
      </c>
      <c r="D338" s="284"/>
      <c r="E338" s="285" t="s">
        <v>91</v>
      </c>
      <c r="F338" s="286" t="s">
        <v>2869</v>
      </c>
      <c r="G338" s="284">
        <v>180</v>
      </c>
      <c r="H338" s="284">
        <v>14</v>
      </c>
      <c r="I338" s="284">
        <v>0.95</v>
      </c>
      <c r="J338" s="287">
        <f>Y338*H338%*I338/G338*1000</f>
        <v>67460.55555555556</v>
      </c>
      <c r="K338" s="301">
        <v>2.2</v>
      </c>
      <c r="L338" s="289">
        <f>(Y338*K338%)/G338*1000</f>
        <v>11158.888888888889</v>
      </c>
      <c r="M338" s="301">
        <v>5</v>
      </c>
      <c r="N338" s="289">
        <f>(Y338*M338%)/G338*1000</f>
        <v>25361.11111111111</v>
      </c>
      <c r="O338" s="302">
        <v>14.1</v>
      </c>
      <c r="P338" s="272" t="s">
        <v>433</v>
      </c>
      <c r="Q338" s="288">
        <v>1.07</v>
      </c>
      <c r="R338" s="289">
        <f>O338*dien*Q338</f>
        <v>17184.093</v>
      </c>
      <c r="S338" s="284" t="s">
        <v>2870</v>
      </c>
      <c r="T338" s="296">
        <f>2*Nii4</f>
        <v>291948.46153846156</v>
      </c>
      <c r="U338" s="250">
        <f>ROUND((J338+L338+N338+R338+T338),0)</f>
        <v>413113</v>
      </c>
      <c r="V338" s="250">
        <v>454820</v>
      </c>
      <c r="W338" s="250">
        <v>413113</v>
      </c>
      <c r="X338" s="250">
        <v>351943</v>
      </c>
      <c r="Y338" s="293">
        <v>91300</v>
      </c>
      <c r="Z338" s="294"/>
      <c r="AA338" s="251"/>
      <c r="AB338" s="251"/>
    </row>
    <row r="339" spans="1:28" s="295" customFormat="1" ht="15.75">
      <c r="A339" s="297"/>
      <c r="B339" s="284"/>
      <c r="C339" s="298"/>
      <c r="D339" s="284"/>
      <c r="E339" s="272"/>
      <c r="F339" s="149" t="s">
        <v>2871</v>
      </c>
      <c r="G339" s="284"/>
      <c r="H339" s="284"/>
      <c r="I339" s="284"/>
      <c r="J339" s="299"/>
      <c r="K339" s="301"/>
      <c r="L339" s="289"/>
      <c r="M339" s="301"/>
      <c r="N339" s="300"/>
      <c r="O339" s="302"/>
      <c r="P339" s="272"/>
      <c r="Q339" s="288"/>
      <c r="R339" s="300"/>
      <c r="S339" s="284"/>
      <c r="T339" s="296"/>
      <c r="U339" s="250"/>
      <c r="V339" s="250"/>
      <c r="W339" s="250"/>
      <c r="X339" s="250"/>
      <c r="Y339" s="293"/>
      <c r="Z339" s="385"/>
      <c r="AA339" s="251"/>
      <c r="AB339" s="251"/>
    </row>
    <row r="340" spans="1:28" s="295" customFormat="1" ht="15.75">
      <c r="A340" s="284">
        <v>284</v>
      </c>
      <c r="B340" s="284">
        <v>0</v>
      </c>
      <c r="C340" s="284" t="s">
        <v>2872</v>
      </c>
      <c r="D340" s="284" t="s">
        <v>2872</v>
      </c>
      <c r="E340" s="285" t="s">
        <v>2678</v>
      </c>
      <c r="F340" s="286" t="s">
        <v>1072</v>
      </c>
      <c r="G340" s="284">
        <v>180</v>
      </c>
      <c r="H340" s="284">
        <v>14</v>
      </c>
      <c r="I340" s="284">
        <v>1</v>
      </c>
      <c r="J340" s="287">
        <f aca="true" t="shared" si="87" ref="J340:J353">Y340*H340%*I340/G340*1000</f>
        <v>3577.7777777777783</v>
      </c>
      <c r="K340" s="301">
        <v>2.2</v>
      </c>
      <c r="L340" s="289">
        <f aca="true" t="shared" si="88" ref="L340:L353">(Y340*K340%)/G340*1000</f>
        <v>562.2222222222223</v>
      </c>
      <c r="M340" s="301">
        <v>5</v>
      </c>
      <c r="N340" s="289">
        <f aca="true" t="shared" si="89" ref="N340:N353">(Y340*M340%)/G340*1000</f>
        <v>1277.7777777777776</v>
      </c>
      <c r="O340" s="302"/>
      <c r="P340" s="272"/>
      <c r="Q340" s="288"/>
      <c r="R340" s="300">
        <f aca="true" t="shared" si="90" ref="R340:R346">+(O340*$AA$2)*(1+$AA$3)</f>
        <v>0</v>
      </c>
      <c r="S340" s="284" t="s">
        <v>1591</v>
      </c>
      <c r="T340" s="296">
        <f aca="true" t="shared" si="91" ref="T340:T346">Nii4</f>
        <v>145974.23076923078</v>
      </c>
      <c r="U340" s="250">
        <f>ROUND((J340+L340+N340+R340+T340),0)</f>
        <v>151392</v>
      </c>
      <c r="V340" s="250">
        <v>172246</v>
      </c>
      <c r="W340" s="250">
        <v>151392</v>
      </c>
      <c r="X340" s="250">
        <v>120807</v>
      </c>
      <c r="Y340" s="293">
        <v>4600</v>
      </c>
      <c r="Z340" s="294"/>
      <c r="AA340" s="251"/>
      <c r="AB340" s="251"/>
    </row>
    <row r="341" spans="1:28" s="295" customFormat="1" ht="15.75">
      <c r="A341" s="284">
        <v>285</v>
      </c>
      <c r="B341" s="284" t="s">
        <v>3816</v>
      </c>
      <c r="C341" s="284" t="s">
        <v>1073</v>
      </c>
      <c r="D341" s="284" t="s">
        <v>793</v>
      </c>
      <c r="E341" s="285" t="s">
        <v>794</v>
      </c>
      <c r="F341" s="286" t="s">
        <v>1074</v>
      </c>
      <c r="G341" s="284">
        <v>180</v>
      </c>
      <c r="H341" s="284">
        <v>14</v>
      </c>
      <c r="I341" s="284">
        <v>1</v>
      </c>
      <c r="J341" s="287">
        <f t="shared" si="87"/>
        <v>4511.111111111112</v>
      </c>
      <c r="K341" s="301">
        <v>2.2</v>
      </c>
      <c r="L341" s="289">
        <f t="shared" si="88"/>
        <v>708.8888888888889</v>
      </c>
      <c r="M341" s="301">
        <v>5</v>
      </c>
      <c r="N341" s="289">
        <f t="shared" si="89"/>
        <v>1611.111111111111</v>
      </c>
      <c r="O341" s="302"/>
      <c r="P341" s="272"/>
      <c r="Q341" s="288"/>
      <c r="R341" s="300">
        <f t="shared" si="90"/>
        <v>0</v>
      </c>
      <c r="S341" s="284" t="s">
        <v>1591</v>
      </c>
      <c r="T341" s="296">
        <f t="shared" si="91"/>
        <v>145974.23076923078</v>
      </c>
      <c r="U341" s="250">
        <f aca="true" t="shared" si="92" ref="U341:U353">ROUND((J341+L341+N341+R341+T341),0)</f>
        <v>152805</v>
      </c>
      <c r="V341" s="250">
        <v>173659</v>
      </c>
      <c r="W341" s="250">
        <v>152805</v>
      </c>
      <c r="X341" s="250">
        <v>122220</v>
      </c>
      <c r="Y341" s="293">
        <v>5800</v>
      </c>
      <c r="Z341" s="294"/>
      <c r="AA341" s="251">
        <v>120807</v>
      </c>
      <c r="AB341" s="251"/>
    </row>
    <row r="342" spans="1:28" s="295" customFormat="1" ht="15.75">
      <c r="A342" s="284">
        <v>286</v>
      </c>
      <c r="B342" s="284" t="s">
        <v>3817</v>
      </c>
      <c r="C342" s="284" t="s">
        <v>1075</v>
      </c>
      <c r="D342" s="284" t="s">
        <v>795</v>
      </c>
      <c r="E342" s="285" t="s">
        <v>796</v>
      </c>
      <c r="F342" s="286" t="s">
        <v>1076</v>
      </c>
      <c r="G342" s="284">
        <v>180</v>
      </c>
      <c r="H342" s="284">
        <v>14</v>
      </c>
      <c r="I342" s="284">
        <v>1</v>
      </c>
      <c r="J342" s="287">
        <f t="shared" si="87"/>
        <v>7622.2222222222235</v>
      </c>
      <c r="K342" s="301">
        <v>2.2</v>
      </c>
      <c r="L342" s="289">
        <f t="shared" si="88"/>
        <v>1197.7777777777778</v>
      </c>
      <c r="M342" s="301">
        <v>5</v>
      </c>
      <c r="N342" s="289">
        <f t="shared" si="89"/>
        <v>2722.222222222222</v>
      </c>
      <c r="O342" s="302"/>
      <c r="P342" s="272"/>
      <c r="Q342" s="288"/>
      <c r="R342" s="300">
        <f t="shared" si="90"/>
        <v>0</v>
      </c>
      <c r="S342" s="284" t="s">
        <v>1591</v>
      </c>
      <c r="T342" s="296">
        <f t="shared" si="91"/>
        <v>145974.23076923078</v>
      </c>
      <c r="U342" s="250">
        <f t="shared" si="92"/>
        <v>157516</v>
      </c>
      <c r="V342" s="250">
        <v>178370</v>
      </c>
      <c r="W342" s="250">
        <v>157516</v>
      </c>
      <c r="X342" s="250">
        <v>126931</v>
      </c>
      <c r="Y342" s="293">
        <v>9800</v>
      </c>
      <c r="Z342" s="294"/>
      <c r="AA342" s="251"/>
      <c r="AB342" s="251"/>
    </row>
    <row r="343" spans="1:28" s="295" customFormat="1" ht="15.75">
      <c r="A343" s="284">
        <v>287</v>
      </c>
      <c r="B343" s="284">
        <v>0</v>
      </c>
      <c r="C343" s="284" t="s">
        <v>1077</v>
      </c>
      <c r="D343" s="284" t="s">
        <v>797</v>
      </c>
      <c r="E343" s="285" t="s">
        <v>798</v>
      </c>
      <c r="F343" s="286" t="s">
        <v>1078</v>
      </c>
      <c r="G343" s="284">
        <v>180</v>
      </c>
      <c r="H343" s="284">
        <v>14</v>
      </c>
      <c r="I343" s="284">
        <v>0.95</v>
      </c>
      <c r="J343" s="287">
        <f t="shared" si="87"/>
        <v>14038.88888888889</v>
      </c>
      <c r="K343" s="301">
        <v>2.2</v>
      </c>
      <c r="L343" s="289">
        <f t="shared" si="88"/>
        <v>2322.2222222222226</v>
      </c>
      <c r="M343" s="301">
        <v>5</v>
      </c>
      <c r="N343" s="289">
        <f t="shared" si="89"/>
        <v>5277.777777777777</v>
      </c>
      <c r="O343" s="302"/>
      <c r="P343" s="272"/>
      <c r="Q343" s="288"/>
      <c r="R343" s="300">
        <f t="shared" si="90"/>
        <v>0</v>
      </c>
      <c r="S343" s="284" t="s">
        <v>1591</v>
      </c>
      <c r="T343" s="296">
        <f t="shared" si="91"/>
        <v>145974.23076923078</v>
      </c>
      <c r="U343" s="250">
        <f t="shared" si="92"/>
        <v>167613</v>
      </c>
      <c r="V343" s="250">
        <v>188467</v>
      </c>
      <c r="W343" s="250">
        <v>167613</v>
      </c>
      <c r="X343" s="250">
        <v>137028</v>
      </c>
      <c r="Y343" s="293">
        <v>19000</v>
      </c>
      <c r="Z343" s="294"/>
      <c r="AA343" s="251"/>
      <c r="AB343" s="251"/>
    </row>
    <row r="344" spans="1:28" s="295" customFormat="1" ht="15.75">
      <c r="A344" s="284">
        <v>288</v>
      </c>
      <c r="B344" s="284" t="s">
        <v>3814</v>
      </c>
      <c r="C344" s="284" t="s">
        <v>1079</v>
      </c>
      <c r="D344" s="284" t="s">
        <v>799</v>
      </c>
      <c r="E344" s="285" t="s">
        <v>800</v>
      </c>
      <c r="F344" s="286" t="s">
        <v>1080</v>
      </c>
      <c r="G344" s="284">
        <v>180</v>
      </c>
      <c r="H344" s="284">
        <v>14</v>
      </c>
      <c r="I344" s="284">
        <v>0.95</v>
      </c>
      <c r="J344" s="287">
        <f t="shared" si="87"/>
        <v>20245.55555555556</v>
      </c>
      <c r="K344" s="301">
        <v>2.2</v>
      </c>
      <c r="L344" s="289">
        <f t="shared" si="88"/>
        <v>3348.888888888889</v>
      </c>
      <c r="M344" s="301">
        <v>5</v>
      </c>
      <c r="N344" s="289">
        <f t="shared" si="89"/>
        <v>7611.11111111111</v>
      </c>
      <c r="O344" s="302"/>
      <c r="P344" s="272"/>
      <c r="Q344" s="288"/>
      <c r="R344" s="300">
        <f t="shared" si="90"/>
        <v>0</v>
      </c>
      <c r="S344" s="284" t="s">
        <v>1591</v>
      </c>
      <c r="T344" s="296">
        <f t="shared" si="91"/>
        <v>145974.23076923078</v>
      </c>
      <c r="U344" s="250">
        <f>ROUND((J344+L344+N344+R344+T344),0)</f>
        <v>177180</v>
      </c>
      <c r="V344" s="250">
        <v>198034</v>
      </c>
      <c r="W344" s="250">
        <v>177180</v>
      </c>
      <c r="X344" s="250">
        <v>146595</v>
      </c>
      <c r="Y344" s="293">
        <v>27400</v>
      </c>
      <c r="Z344" s="294"/>
      <c r="AA344" s="251"/>
      <c r="AB344" s="251"/>
    </row>
    <row r="345" spans="1:28" s="295" customFormat="1" ht="15.75">
      <c r="A345" s="284">
        <v>289</v>
      </c>
      <c r="B345" s="284" t="s">
        <v>3815</v>
      </c>
      <c r="C345" s="284" t="s">
        <v>1081</v>
      </c>
      <c r="D345" s="284" t="s">
        <v>801</v>
      </c>
      <c r="E345" s="285" t="s">
        <v>802</v>
      </c>
      <c r="F345" s="286" t="s">
        <v>1082</v>
      </c>
      <c r="G345" s="284">
        <v>180</v>
      </c>
      <c r="H345" s="284">
        <v>14</v>
      </c>
      <c r="I345" s="284">
        <v>0.95</v>
      </c>
      <c r="J345" s="287">
        <f t="shared" si="87"/>
        <v>32511.111111111113</v>
      </c>
      <c r="K345" s="301">
        <v>2.2</v>
      </c>
      <c r="L345" s="289">
        <f t="shared" si="88"/>
        <v>5377.777777777778</v>
      </c>
      <c r="M345" s="301">
        <v>5</v>
      </c>
      <c r="N345" s="289">
        <f t="shared" si="89"/>
        <v>12222.22222222222</v>
      </c>
      <c r="O345" s="302"/>
      <c r="P345" s="272"/>
      <c r="Q345" s="288"/>
      <c r="R345" s="300">
        <f t="shared" si="90"/>
        <v>0</v>
      </c>
      <c r="S345" s="284" t="s">
        <v>1591</v>
      </c>
      <c r="T345" s="296">
        <f t="shared" si="91"/>
        <v>145974.23076923078</v>
      </c>
      <c r="U345" s="250">
        <f t="shared" si="92"/>
        <v>196085</v>
      </c>
      <c r="V345" s="250">
        <v>216939</v>
      </c>
      <c r="W345" s="250">
        <v>196085</v>
      </c>
      <c r="X345" s="250">
        <v>165500</v>
      </c>
      <c r="Y345" s="293">
        <v>44000</v>
      </c>
      <c r="Z345" s="294"/>
      <c r="AA345" s="251"/>
      <c r="AB345" s="251"/>
    </row>
    <row r="346" spans="1:28" s="295" customFormat="1" ht="15.75">
      <c r="A346" s="284">
        <v>290</v>
      </c>
      <c r="B346" s="284" t="s">
        <v>3818</v>
      </c>
      <c r="C346" s="284" t="s">
        <v>1083</v>
      </c>
      <c r="D346" s="284" t="s">
        <v>803</v>
      </c>
      <c r="E346" s="285" t="s">
        <v>804</v>
      </c>
      <c r="F346" s="286" t="s">
        <v>1084</v>
      </c>
      <c r="G346" s="284">
        <v>180</v>
      </c>
      <c r="H346" s="284">
        <v>14</v>
      </c>
      <c r="I346" s="284">
        <v>0.95</v>
      </c>
      <c r="J346" s="287">
        <f t="shared" si="87"/>
        <v>70563.88888888889</v>
      </c>
      <c r="K346" s="301">
        <v>2.2</v>
      </c>
      <c r="L346" s="289">
        <f t="shared" si="88"/>
        <v>11672.222222222223</v>
      </c>
      <c r="M346" s="301">
        <v>5</v>
      </c>
      <c r="N346" s="289">
        <f t="shared" si="89"/>
        <v>26527.777777777777</v>
      </c>
      <c r="O346" s="302"/>
      <c r="P346" s="272"/>
      <c r="Q346" s="288"/>
      <c r="R346" s="300">
        <f t="shared" si="90"/>
        <v>0</v>
      </c>
      <c r="S346" s="284" t="s">
        <v>1591</v>
      </c>
      <c r="T346" s="296">
        <f t="shared" si="91"/>
        <v>145974.23076923078</v>
      </c>
      <c r="U346" s="250">
        <f t="shared" si="92"/>
        <v>254738</v>
      </c>
      <c r="V346" s="250">
        <v>275592</v>
      </c>
      <c r="W346" s="250">
        <v>254738</v>
      </c>
      <c r="X346" s="250">
        <v>224153</v>
      </c>
      <c r="Y346" s="293">
        <v>95500</v>
      </c>
      <c r="Z346" s="294"/>
      <c r="AA346" s="251"/>
      <c r="AB346" s="251"/>
    </row>
    <row r="347" spans="1:28" s="295" customFormat="1" ht="31.5">
      <c r="A347" s="284">
        <v>291</v>
      </c>
      <c r="B347" s="284">
        <v>0</v>
      </c>
      <c r="C347" s="284" t="s">
        <v>1085</v>
      </c>
      <c r="D347" s="284" t="s">
        <v>3329</v>
      </c>
      <c r="E347" s="285" t="s">
        <v>60</v>
      </c>
      <c r="F347" s="286" t="s">
        <v>1086</v>
      </c>
      <c r="G347" s="284">
        <v>180</v>
      </c>
      <c r="H347" s="284">
        <v>14</v>
      </c>
      <c r="I347" s="284">
        <v>1</v>
      </c>
      <c r="J347" s="287">
        <f t="shared" si="87"/>
        <v>7933.333333333335</v>
      </c>
      <c r="K347" s="288">
        <v>2.2</v>
      </c>
      <c r="L347" s="289">
        <f t="shared" si="88"/>
        <v>1246.6666666666667</v>
      </c>
      <c r="M347" s="288">
        <v>5</v>
      </c>
      <c r="N347" s="289">
        <f t="shared" si="89"/>
        <v>2833.3333333333335</v>
      </c>
      <c r="O347" s="290"/>
      <c r="P347" s="291"/>
      <c r="Q347" s="288"/>
      <c r="R347" s="300"/>
      <c r="S347" s="292" t="s">
        <v>1591</v>
      </c>
      <c r="T347" s="289">
        <f>'Nhan cong'!$M$42</f>
        <v>145974.23076923078</v>
      </c>
      <c r="U347" s="250">
        <f t="shared" si="92"/>
        <v>157988</v>
      </c>
      <c r="V347" s="250">
        <v>178445</v>
      </c>
      <c r="W347" s="250">
        <v>157591</v>
      </c>
      <c r="X347" s="250">
        <v>127006</v>
      </c>
      <c r="Y347" s="293">
        <v>10200</v>
      </c>
      <c r="Z347" s="294"/>
      <c r="AA347" s="307">
        <v>157591</v>
      </c>
      <c r="AB347" s="251"/>
    </row>
    <row r="348" spans="1:28" s="295" customFormat="1" ht="31.5">
      <c r="A348" s="284">
        <v>292</v>
      </c>
      <c r="B348" s="284">
        <v>0</v>
      </c>
      <c r="C348" s="284" t="s">
        <v>1087</v>
      </c>
      <c r="D348" s="284" t="s">
        <v>3330</v>
      </c>
      <c r="E348" s="285" t="s">
        <v>61</v>
      </c>
      <c r="F348" s="286" t="s">
        <v>1088</v>
      </c>
      <c r="G348" s="284">
        <v>180</v>
      </c>
      <c r="H348" s="284">
        <v>14</v>
      </c>
      <c r="I348" s="284">
        <v>0.95</v>
      </c>
      <c r="J348" s="287">
        <f t="shared" si="87"/>
        <v>11600.555555555555</v>
      </c>
      <c r="K348" s="288">
        <v>2.2</v>
      </c>
      <c r="L348" s="289">
        <f t="shared" si="88"/>
        <v>1918.8888888888891</v>
      </c>
      <c r="M348" s="288">
        <v>5</v>
      </c>
      <c r="N348" s="289">
        <f t="shared" si="89"/>
        <v>4361.11111111111</v>
      </c>
      <c r="O348" s="290"/>
      <c r="P348" s="291"/>
      <c r="Q348" s="288"/>
      <c r="R348" s="300"/>
      <c r="S348" s="292" t="s">
        <v>1591</v>
      </c>
      <c r="T348" s="289">
        <f>'Nhan cong'!$M$42</f>
        <v>145974.23076923078</v>
      </c>
      <c r="U348" s="250">
        <f>ROUND((J348+L348+N348+R348+T348),0)-1</f>
        <v>163854</v>
      </c>
      <c r="V348" s="250">
        <v>184708</v>
      </c>
      <c r="W348" s="250">
        <v>163854</v>
      </c>
      <c r="X348" s="250">
        <v>133270</v>
      </c>
      <c r="Y348" s="293">
        <v>15700</v>
      </c>
      <c r="Z348" s="294">
        <v>-1</v>
      </c>
      <c r="AA348" s="251"/>
      <c r="AB348" s="251"/>
    </row>
    <row r="349" spans="1:28" s="295" customFormat="1" ht="47.25">
      <c r="A349" s="284">
        <v>293</v>
      </c>
      <c r="B349" s="284">
        <v>0</v>
      </c>
      <c r="C349" s="284" t="s">
        <v>1089</v>
      </c>
      <c r="D349" s="284" t="s">
        <v>3331</v>
      </c>
      <c r="E349" s="285" t="s">
        <v>62</v>
      </c>
      <c r="F349" s="286" t="s">
        <v>1090</v>
      </c>
      <c r="G349" s="284">
        <v>180</v>
      </c>
      <c r="H349" s="284">
        <v>14</v>
      </c>
      <c r="I349" s="284">
        <v>0.95</v>
      </c>
      <c r="J349" s="287">
        <f t="shared" si="87"/>
        <v>156422.77777777778</v>
      </c>
      <c r="K349" s="288">
        <v>3.5</v>
      </c>
      <c r="L349" s="289">
        <f t="shared" si="88"/>
        <v>41163.88888888889</v>
      </c>
      <c r="M349" s="288">
        <v>5</v>
      </c>
      <c r="N349" s="289">
        <f t="shared" si="89"/>
        <v>58805.555555555555</v>
      </c>
      <c r="O349" s="290">
        <v>29.38</v>
      </c>
      <c r="P349" s="291" t="s">
        <v>433</v>
      </c>
      <c r="Q349" s="288">
        <v>1.07</v>
      </c>
      <c r="R349" s="289">
        <f>O349*dien*Q349</f>
        <v>35806.2874</v>
      </c>
      <c r="S349" s="292" t="s">
        <v>230</v>
      </c>
      <c r="T349" s="289">
        <f>Nii4+Nii5</f>
        <v>316373.07692307694</v>
      </c>
      <c r="U349" s="250">
        <f>ROUND((J349+L349+N349+R349+T349),0)-1</f>
        <v>608571</v>
      </c>
      <c r="V349" s="250">
        <v>653767</v>
      </c>
      <c r="W349" s="250">
        <v>608571</v>
      </c>
      <c r="X349" s="250">
        <v>542283</v>
      </c>
      <c r="Y349" s="293">
        <v>211700</v>
      </c>
      <c r="Z349" s="294">
        <v>-1</v>
      </c>
      <c r="AA349" s="251"/>
      <c r="AB349" s="251"/>
    </row>
    <row r="350" spans="1:28" s="295" customFormat="1" ht="31.5">
      <c r="A350" s="284">
        <v>294</v>
      </c>
      <c r="B350" s="284">
        <v>0</v>
      </c>
      <c r="C350" s="284" t="s">
        <v>1091</v>
      </c>
      <c r="D350" s="284" t="s">
        <v>3332</v>
      </c>
      <c r="E350" s="285" t="s">
        <v>63</v>
      </c>
      <c r="F350" s="286" t="s">
        <v>1092</v>
      </c>
      <c r="G350" s="284">
        <v>180</v>
      </c>
      <c r="H350" s="284">
        <v>14</v>
      </c>
      <c r="I350" s="284">
        <v>0.95</v>
      </c>
      <c r="J350" s="287">
        <f t="shared" si="87"/>
        <v>35762.222222222226</v>
      </c>
      <c r="K350" s="288">
        <v>2.2</v>
      </c>
      <c r="L350" s="289">
        <f t="shared" si="88"/>
        <v>5915.555555555557</v>
      </c>
      <c r="M350" s="288">
        <v>5</v>
      </c>
      <c r="N350" s="289">
        <f t="shared" si="89"/>
        <v>13444.444444444445</v>
      </c>
      <c r="O350" s="290"/>
      <c r="P350" s="291"/>
      <c r="Q350" s="288"/>
      <c r="R350" s="300"/>
      <c r="S350" s="292" t="s">
        <v>1591</v>
      </c>
      <c r="T350" s="289">
        <f>'Nhan cong'!$M$42</f>
        <v>145974.23076923078</v>
      </c>
      <c r="U350" s="250">
        <f t="shared" si="92"/>
        <v>201096</v>
      </c>
      <c r="V350" s="250">
        <v>221950</v>
      </c>
      <c r="W350" s="250">
        <v>201096</v>
      </c>
      <c r="X350" s="250">
        <v>170511</v>
      </c>
      <c r="Y350" s="293">
        <v>48400</v>
      </c>
      <c r="Z350" s="294"/>
      <c r="AA350" s="251"/>
      <c r="AB350" s="251"/>
    </row>
    <row r="351" spans="1:28" s="295" customFormat="1" ht="31.5">
      <c r="A351" s="284">
        <v>295</v>
      </c>
      <c r="B351" s="284">
        <v>0</v>
      </c>
      <c r="C351" s="284" t="s">
        <v>1093</v>
      </c>
      <c r="D351" s="284" t="s">
        <v>3333</v>
      </c>
      <c r="E351" s="285" t="s">
        <v>64</v>
      </c>
      <c r="F351" s="286" t="s">
        <v>1094</v>
      </c>
      <c r="G351" s="284">
        <v>180</v>
      </c>
      <c r="H351" s="284">
        <v>14</v>
      </c>
      <c r="I351" s="284">
        <v>0.95</v>
      </c>
      <c r="J351" s="287">
        <f t="shared" si="87"/>
        <v>13004.444444444445</v>
      </c>
      <c r="K351" s="288">
        <v>2.2</v>
      </c>
      <c r="L351" s="289">
        <f t="shared" si="88"/>
        <v>2151.1111111111113</v>
      </c>
      <c r="M351" s="288">
        <v>5</v>
      </c>
      <c r="N351" s="289">
        <f t="shared" si="89"/>
        <v>4888.88888888889</v>
      </c>
      <c r="O351" s="290"/>
      <c r="P351" s="291"/>
      <c r="Q351" s="288"/>
      <c r="R351" s="300"/>
      <c r="S351" s="292" t="s">
        <v>1591</v>
      </c>
      <c r="T351" s="289">
        <f>'Nhan cong'!$M$42</f>
        <v>145974.23076923078</v>
      </c>
      <c r="U351" s="250">
        <f>ROUND((J351+L351+N351+R351+T351),0)-1</f>
        <v>166018</v>
      </c>
      <c r="V351" s="250">
        <v>186872</v>
      </c>
      <c r="W351" s="250">
        <v>166018</v>
      </c>
      <c r="X351" s="250">
        <v>135433</v>
      </c>
      <c r="Y351" s="293">
        <v>17600</v>
      </c>
      <c r="Z351" s="294"/>
      <c r="AA351" s="251"/>
      <c r="AB351" s="251"/>
    </row>
    <row r="352" spans="1:28" s="295" customFormat="1" ht="31.5">
      <c r="A352" s="284">
        <v>296</v>
      </c>
      <c r="B352" s="284">
        <v>0</v>
      </c>
      <c r="C352" s="284" t="s">
        <v>1095</v>
      </c>
      <c r="D352" s="284" t="s">
        <v>3334</v>
      </c>
      <c r="E352" s="285" t="s">
        <v>65</v>
      </c>
      <c r="F352" s="286" t="s">
        <v>1096</v>
      </c>
      <c r="G352" s="284">
        <v>180</v>
      </c>
      <c r="H352" s="284">
        <v>14</v>
      </c>
      <c r="I352" s="284">
        <v>0.95</v>
      </c>
      <c r="J352" s="287">
        <f t="shared" si="87"/>
        <v>54382.222222222226</v>
      </c>
      <c r="K352" s="288">
        <v>2.2</v>
      </c>
      <c r="L352" s="289">
        <f t="shared" si="88"/>
        <v>8995.555555555557</v>
      </c>
      <c r="M352" s="288">
        <v>5</v>
      </c>
      <c r="N352" s="289">
        <f t="shared" si="89"/>
        <v>20444.44444444444</v>
      </c>
      <c r="O352" s="290"/>
      <c r="P352" s="291"/>
      <c r="Q352" s="288"/>
      <c r="R352" s="300"/>
      <c r="S352" s="292" t="s">
        <v>1591</v>
      </c>
      <c r="T352" s="289">
        <f>'Nhan cong'!$M$42</f>
        <v>145974.23076923078</v>
      </c>
      <c r="U352" s="250">
        <f t="shared" si="92"/>
        <v>229796</v>
      </c>
      <c r="V352" s="250">
        <v>250650</v>
      </c>
      <c r="W352" s="250">
        <v>229796</v>
      </c>
      <c r="X352" s="250">
        <v>199211</v>
      </c>
      <c r="Y352" s="293">
        <v>73600</v>
      </c>
      <c r="Z352" s="294"/>
      <c r="AA352" s="251"/>
      <c r="AB352" s="251"/>
    </row>
    <row r="353" spans="1:28" s="295" customFormat="1" ht="31.5">
      <c r="A353" s="284">
        <v>297</v>
      </c>
      <c r="B353" s="284">
        <v>0</v>
      </c>
      <c r="C353" s="284" t="s">
        <v>1097</v>
      </c>
      <c r="D353" s="284" t="s">
        <v>3335</v>
      </c>
      <c r="E353" s="285" t="s">
        <v>66</v>
      </c>
      <c r="F353" s="286" t="s">
        <v>1098</v>
      </c>
      <c r="G353" s="284">
        <v>180</v>
      </c>
      <c r="H353" s="284">
        <v>14</v>
      </c>
      <c r="I353" s="284">
        <v>0.95</v>
      </c>
      <c r="J353" s="287">
        <f t="shared" si="87"/>
        <v>172752.22222222222</v>
      </c>
      <c r="K353" s="288">
        <v>2.2</v>
      </c>
      <c r="L353" s="289">
        <f t="shared" si="88"/>
        <v>28575.55555555556</v>
      </c>
      <c r="M353" s="288">
        <v>5</v>
      </c>
      <c r="N353" s="289">
        <f t="shared" si="89"/>
        <v>64944.444444444445</v>
      </c>
      <c r="O353" s="290"/>
      <c r="P353" s="291"/>
      <c r="Q353" s="288"/>
      <c r="R353" s="300"/>
      <c r="S353" s="292" t="s">
        <v>1591</v>
      </c>
      <c r="T353" s="289">
        <f>'Nhan cong'!$M$42</f>
        <v>145974.23076923078</v>
      </c>
      <c r="U353" s="250">
        <f t="shared" si="92"/>
        <v>412246</v>
      </c>
      <c r="V353" s="250">
        <v>433100</v>
      </c>
      <c r="W353" s="250">
        <v>412246</v>
      </c>
      <c r="X353" s="250">
        <v>381661</v>
      </c>
      <c r="Y353" s="293">
        <v>233800</v>
      </c>
      <c r="Z353" s="294"/>
      <c r="AA353" s="251"/>
      <c r="AB353" s="251"/>
    </row>
    <row r="354" spans="1:28" s="295" customFormat="1" ht="15.75">
      <c r="A354" s="297"/>
      <c r="B354" s="284"/>
      <c r="C354" s="298"/>
      <c r="D354" s="284"/>
      <c r="E354" s="272"/>
      <c r="F354" s="151" t="s">
        <v>1099</v>
      </c>
      <c r="G354" s="284"/>
      <c r="H354" s="284"/>
      <c r="I354" s="284"/>
      <c r="J354" s="299"/>
      <c r="K354" s="288"/>
      <c r="L354" s="289"/>
      <c r="M354" s="288"/>
      <c r="N354" s="300"/>
      <c r="O354" s="290"/>
      <c r="P354" s="291"/>
      <c r="Q354" s="288"/>
      <c r="R354" s="300"/>
      <c r="S354" s="292"/>
      <c r="T354" s="289"/>
      <c r="U354" s="250"/>
      <c r="V354" s="250"/>
      <c r="W354" s="250"/>
      <c r="X354" s="250"/>
      <c r="Y354" s="293"/>
      <c r="Z354" s="385"/>
      <c r="AA354" s="251"/>
      <c r="AB354" s="251"/>
    </row>
    <row r="355" spans="1:28" s="295" customFormat="1" ht="15.75">
      <c r="A355" s="284">
        <v>298</v>
      </c>
      <c r="B355" s="284" t="s">
        <v>622</v>
      </c>
      <c r="C355" s="284" t="s">
        <v>1100</v>
      </c>
      <c r="D355" s="284" t="s">
        <v>3336</v>
      </c>
      <c r="E355" s="285" t="s">
        <v>1832</v>
      </c>
      <c r="F355" s="286" t="s">
        <v>1101</v>
      </c>
      <c r="G355" s="284">
        <v>220</v>
      </c>
      <c r="H355" s="284">
        <v>10</v>
      </c>
      <c r="I355" s="284">
        <v>0.95</v>
      </c>
      <c r="J355" s="287">
        <f>Y355*H355%*I355/G355*1000</f>
        <v>40979.54545454545</v>
      </c>
      <c r="K355" s="288">
        <v>2.2</v>
      </c>
      <c r="L355" s="289">
        <f>(Y355*K355%)/G355*1000</f>
        <v>9490</v>
      </c>
      <c r="M355" s="288">
        <v>5</v>
      </c>
      <c r="N355" s="289">
        <f>(Y355*M355%)/G355*1000</f>
        <v>21568.181818181816</v>
      </c>
      <c r="O355" s="290">
        <v>27</v>
      </c>
      <c r="P355" s="291" t="s">
        <v>433</v>
      </c>
      <c r="Q355" s="288">
        <v>1.07</v>
      </c>
      <c r="R355" s="289">
        <f>O355*dien*Q355</f>
        <v>32905.71</v>
      </c>
      <c r="S355" s="292" t="s">
        <v>1591</v>
      </c>
      <c r="T355" s="289">
        <f>'Nhan cong'!$M$42</f>
        <v>145974.23076923078</v>
      </c>
      <c r="U355" s="250">
        <f>ROUND((J355+L355+N355+R355+T355),0)</f>
        <v>250918</v>
      </c>
      <c r="V355" s="250">
        <v>271772</v>
      </c>
      <c r="W355" s="250">
        <v>250918</v>
      </c>
      <c r="X355" s="250">
        <v>220333</v>
      </c>
      <c r="Y355" s="293">
        <v>94900</v>
      </c>
      <c r="Z355" s="294">
        <v>1</v>
      </c>
      <c r="AA355" s="251"/>
      <c r="AB355" s="251"/>
    </row>
    <row r="356" spans="1:28" s="295" customFormat="1" ht="15.75">
      <c r="A356" s="297"/>
      <c r="B356" s="284"/>
      <c r="C356" s="298"/>
      <c r="D356" s="284"/>
      <c r="E356" s="272"/>
      <c r="F356" s="149" t="s">
        <v>1102</v>
      </c>
      <c r="G356" s="284"/>
      <c r="H356" s="284"/>
      <c r="I356" s="284"/>
      <c r="J356" s="299"/>
      <c r="K356" s="301"/>
      <c r="L356" s="289"/>
      <c r="M356" s="301"/>
      <c r="N356" s="300"/>
      <c r="O356" s="302"/>
      <c r="P356" s="272"/>
      <c r="Q356" s="288"/>
      <c r="R356" s="300"/>
      <c r="S356" s="284"/>
      <c r="T356" s="296"/>
      <c r="U356" s="250"/>
      <c r="V356" s="250"/>
      <c r="W356" s="250"/>
      <c r="X356" s="250"/>
      <c r="Y356" s="293"/>
      <c r="Z356" s="385"/>
      <c r="AA356" s="251"/>
      <c r="AB356" s="251"/>
    </row>
    <row r="357" spans="1:28" s="295" customFormat="1" ht="15.75">
      <c r="A357" s="284">
        <v>299</v>
      </c>
      <c r="B357" s="284">
        <v>0</v>
      </c>
      <c r="C357" s="284" t="s">
        <v>1103</v>
      </c>
      <c r="D357" s="284" t="s">
        <v>3337</v>
      </c>
      <c r="E357" s="285" t="s">
        <v>1833</v>
      </c>
      <c r="F357" s="286" t="s">
        <v>1104</v>
      </c>
      <c r="G357" s="284">
        <v>200</v>
      </c>
      <c r="H357" s="284">
        <v>14</v>
      </c>
      <c r="I357" s="284">
        <v>1</v>
      </c>
      <c r="J357" s="287">
        <f>Y357*H357%*I357/G357*1000</f>
        <v>3850.0000000000005</v>
      </c>
      <c r="K357" s="301">
        <v>4.8</v>
      </c>
      <c r="L357" s="289">
        <f>(Y357*K357%)/G357*1000</f>
        <v>1320</v>
      </c>
      <c r="M357" s="301">
        <v>4</v>
      </c>
      <c r="N357" s="289">
        <f>(Y357*M357%)/G357*1000</f>
        <v>1100</v>
      </c>
      <c r="O357" s="302">
        <v>1.8</v>
      </c>
      <c r="P357" s="272" t="s">
        <v>433</v>
      </c>
      <c r="Q357" s="288">
        <v>1.07</v>
      </c>
      <c r="R357" s="289">
        <f>O357*dien*Q357</f>
        <v>2193.7140000000004</v>
      </c>
      <c r="S357" s="284" t="s">
        <v>295</v>
      </c>
      <c r="T357" s="296">
        <f>Nii3</f>
        <v>125620.38461538461</v>
      </c>
      <c r="U357" s="250">
        <f>ROUND((J357+L357+N357+R357+T357),0)</f>
        <v>134084</v>
      </c>
      <c r="V357" s="250">
        <v>152030</v>
      </c>
      <c r="W357" s="250">
        <v>134084</v>
      </c>
      <c r="X357" s="250">
        <v>107764</v>
      </c>
      <c r="Y357" s="293">
        <v>5500</v>
      </c>
      <c r="Z357" s="294"/>
      <c r="AA357" s="251"/>
      <c r="AB357" s="251"/>
    </row>
    <row r="358" spans="1:28" s="295" customFormat="1" ht="15.75">
      <c r="A358" s="284">
        <v>300</v>
      </c>
      <c r="B358" s="284" t="s">
        <v>3835</v>
      </c>
      <c r="C358" s="284" t="s">
        <v>1105</v>
      </c>
      <c r="D358" s="284" t="s">
        <v>3338</v>
      </c>
      <c r="E358" s="285" t="s">
        <v>1834</v>
      </c>
      <c r="F358" s="286" t="s">
        <v>1106</v>
      </c>
      <c r="G358" s="284">
        <v>200</v>
      </c>
      <c r="H358" s="284">
        <v>14</v>
      </c>
      <c r="I358" s="284">
        <v>0.95</v>
      </c>
      <c r="J358" s="287">
        <f>Y358*H358%*I358/G358*1000</f>
        <v>15561.000000000002</v>
      </c>
      <c r="K358" s="301">
        <v>3.5</v>
      </c>
      <c r="L358" s="289">
        <f>(Y358*K358%)/G358*1000</f>
        <v>4095.0000000000005</v>
      </c>
      <c r="M358" s="301">
        <v>4</v>
      </c>
      <c r="N358" s="289">
        <f>(Y358*M358%)/G358*1000</f>
        <v>4680</v>
      </c>
      <c r="O358" s="302">
        <v>12.6</v>
      </c>
      <c r="P358" s="272" t="s">
        <v>433</v>
      </c>
      <c r="Q358" s="288">
        <v>1.07</v>
      </c>
      <c r="R358" s="289">
        <f>O358*dien*Q358</f>
        <v>15355.998000000001</v>
      </c>
      <c r="S358" s="284" t="s">
        <v>295</v>
      </c>
      <c r="T358" s="296">
        <f>Nii3</f>
        <v>125620.38461538461</v>
      </c>
      <c r="U358" s="250">
        <f>ROUND((J358+L358+N358+R358+T358),0)</f>
        <v>165312</v>
      </c>
      <c r="V358" s="250">
        <v>183258</v>
      </c>
      <c r="W358" s="250">
        <v>165312</v>
      </c>
      <c r="X358" s="250">
        <v>138992</v>
      </c>
      <c r="Y358" s="293">
        <v>23400</v>
      </c>
      <c r="Z358" s="294"/>
      <c r="AA358" s="251"/>
      <c r="AB358" s="251"/>
    </row>
    <row r="359" spans="1:28" s="295" customFormat="1" ht="15.75">
      <c r="A359" s="297"/>
      <c r="B359" s="284"/>
      <c r="D359" s="308"/>
      <c r="E359" s="272"/>
      <c r="F359" s="151" t="s">
        <v>1107</v>
      </c>
      <c r="G359" s="284"/>
      <c r="H359" s="284"/>
      <c r="I359" s="284"/>
      <c r="J359" s="299"/>
      <c r="K359" s="288"/>
      <c r="L359" s="289"/>
      <c r="M359" s="288"/>
      <c r="N359" s="300"/>
      <c r="O359" s="290"/>
      <c r="P359" s="291"/>
      <c r="Q359" s="288"/>
      <c r="R359" s="300"/>
      <c r="S359" s="292"/>
      <c r="T359" s="289"/>
      <c r="U359" s="250"/>
      <c r="V359" s="250"/>
      <c r="W359" s="250"/>
      <c r="X359" s="250"/>
      <c r="Y359" s="293"/>
      <c r="Z359" s="385"/>
      <c r="AA359" s="251"/>
      <c r="AB359" s="251"/>
    </row>
    <row r="360" spans="1:28" s="295" customFormat="1" ht="31.5">
      <c r="A360" s="284">
        <v>301</v>
      </c>
      <c r="B360" s="284">
        <v>0</v>
      </c>
      <c r="C360" s="284" t="s">
        <v>1108</v>
      </c>
      <c r="D360" s="284" t="s">
        <v>3339</v>
      </c>
      <c r="E360" s="285" t="s">
        <v>1835</v>
      </c>
      <c r="F360" s="286" t="s">
        <v>1109</v>
      </c>
      <c r="G360" s="284">
        <v>180</v>
      </c>
      <c r="H360" s="284">
        <v>20</v>
      </c>
      <c r="I360" s="284">
        <v>0.95</v>
      </c>
      <c r="J360" s="287">
        <f>Y360*H360%*I360/G360*1000</f>
        <v>22166.666666666668</v>
      </c>
      <c r="K360" s="288">
        <v>6.5</v>
      </c>
      <c r="L360" s="289">
        <f>(Y360*K360%)/G360*1000</f>
        <v>7583.333333333333</v>
      </c>
      <c r="M360" s="288">
        <v>5</v>
      </c>
      <c r="N360" s="289">
        <f>(Y360*M360%)/G360*1000</f>
        <v>5833.333333333333</v>
      </c>
      <c r="O360" s="290">
        <v>13.65</v>
      </c>
      <c r="P360" s="291" t="s">
        <v>433</v>
      </c>
      <c r="Q360" s="288">
        <v>1.07</v>
      </c>
      <c r="R360" s="289">
        <f>O360*dien*Q360</f>
        <v>16635.664500000003</v>
      </c>
      <c r="S360" s="292" t="s">
        <v>1591</v>
      </c>
      <c r="T360" s="289">
        <f>'Nhan cong'!$M$42</f>
        <v>145974.23076923078</v>
      </c>
      <c r="U360" s="250">
        <f>ROUND((J360+L360+N360+R360+T360),0)</f>
        <v>198193</v>
      </c>
      <c r="V360" s="250">
        <v>219047</v>
      </c>
      <c r="W360" s="250">
        <v>198193</v>
      </c>
      <c r="X360" s="250">
        <v>167608</v>
      </c>
      <c r="Y360" s="293">
        <v>21000</v>
      </c>
      <c r="Z360" s="294"/>
      <c r="AA360" s="251"/>
      <c r="AB360" s="251"/>
    </row>
    <row r="361" spans="1:28" s="295" customFormat="1" ht="31.5">
      <c r="A361" s="284">
        <v>302</v>
      </c>
      <c r="B361" s="284">
        <v>0</v>
      </c>
      <c r="C361" s="284" t="s">
        <v>1110</v>
      </c>
      <c r="D361" s="284" t="s">
        <v>3340</v>
      </c>
      <c r="E361" s="285" t="s">
        <v>1836</v>
      </c>
      <c r="F361" s="286" t="s">
        <v>1111</v>
      </c>
      <c r="G361" s="284">
        <v>180</v>
      </c>
      <c r="H361" s="284">
        <v>20</v>
      </c>
      <c r="I361" s="284">
        <v>0.95</v>
      </c>
      <c r="J361" s="287">
        <f>Y361*H361%*I361/G361*1000</f>
        <v>28077.77777777778</v>
      </c>
      <c r="K361" s="288">
        <v>6.5</v>
      </c>
      <c r="L361" s="289">
        <f>(Y361*K361%)/G361*1000</f>
        <v>9605.555555555557</v>
      </c>
      <c r="M361" s="288">
        <v>5</v>
      </c>
      <c r="N361" s="289">
        <f>(Y361*M361%)/G361*1000</f>
        <v>7388.88888888889</v>
      </c>
      <c r="O361" s="290">
        <v>19.5</v>
      </c>
      <c r="P361" s="291" t="s">
        <v>433</v>
      </c>
      <c r="Q361" s="288">
        <v>1.07</v>
      </c>
      <c r="R361" s="289">
        <f>O361*dien*Q361</f>
        <v>23765.235</v>
      </c>
      <c r="S361" s="292" t="s">
        <v>1591</v>
      </c>
      <c r="T361" s="289">
        <f>'Nhan cong'!$M$42</f>
        <v>145974.23076923078</v>
      </c>
      <c r="U361" s="250">
        <f>ROUND((J361+L361+N361+R361+T361),0)-1</f>
        <v>214811</v>
      </c>
      <c r="V361" s="250">
        <v>235665</v>
      </c>
      <c r="W361" s="250">
        <v>214811</v>
      </c>
      <c r="X361" s="250">
        <v>184226</v>
      </c>
      <c r="Y361" s="293">
        <v>26600</v>
      </c>
      <c r="Z361" s="294">
        <v>-1</v>
      </c>
      <c r="AA361" s="251"/>
      <c r="AB361" s="251"/>
    </row>
    <row r="362" spans="1:28" s="295" customFormat="1" ht="15.75">
      <c r="A362" s="297"/>
      <c r="B362" s="284"/>
      <c r="D362" s="308"/>
      <c r="E362" s="272"/>
      <c r="F362" s="151" t="s">
        <v>1112</v>
      </c>
      <c r="G362" s="284"/>
      <c r="H362" s="284"/>
      <c r="I362" s="284"/>
      <c r="J362" s="299"/>
      <c r="K362" s="288"/>
      <c r="L362" s="289"/>
      <c r="M362" s="288"/>
      <c r="N362" s="300"/>
      <c r="O362" s="290"/>
      <c r="P362" s="291"/>
      <c r="Q362" s="288"/>
      <c r="R362" s="300"/>
      <c r="S362" s="292"/>
      <c r="T362" s="289"/>
      <c r="U362" s="250"/>
      <c r="V362" s="250"/>
      <c r="W362" s="250"/>
      <c r="X362" s="250"/>
      <c r="Y362" s="293"/>
      <c r="Z362" s="385"/>
      <c r="AA362" s="251"/>
      <c r="AB362" s="251"/>
    </row>
    <row r="363" spans="1:28" s="295" customFormat="1" ht="15.75">
      <c r="A363" s="284">
        <v>303</v>
      </c>
      <c r="B363" s="284">
        <v>0</v>
      </c>
      <c r="C363" s="284" t="s">
        <v>1113</v>
      </c>
      <c r="D363" s="284" t="s">
        <v>3341</v>
      </c>
      <c r="E363" s="285" t="s">
        <v>1837</v>
      </c>
      <c r="F363" s="286" t="s">
        <v>1785</v>
      </c>
      <c r="G363" s="284">
        <v>240</v>
      </c>
      <c r="H363" s="284">
        <v>17</v>
      </c>
      <c r="I363" s="284">
        <v>0.95</v>
      </c>
      <c r="J363" s="287">
        <f aca="true" t="shared" si="93" ref="J363:J368">Y363*H363%*I363/G363*1000</f>
        <v>105446.04166666667</v>
      </c>
      <c r="K363" s="288">
        <v>3.74</v>
      </c>
      <c r="L363" s="289">
        <f aca="true" t="shared" si="94" ref="L363:L368">(Y363*K363%)/G363*1000</f>
        <v>24419.083333333336</v>
      </c>
      <c r="M363" s="288">
        <v>5</v>
      </c>
      <c r="N363" s="289">
        <f aca="true" t="shared" si="95" ref="N363:N368">(Y363*M363%)/G363*1000</f>
        <v>32645.833333333336</v>
      </c>
      <c r="O363" s="290">
        <v>7.92</v>
      </c>
      <c r="P363" s="291" t="s">
        <v>1590</v>
      </c>
      <c r="Q363" s="288">
        <v>1.05</v>
      </c>
      <c r="R363" s="289">
        <f aca="true" t="shared" si="96" ref="R363:R368">O363*diezel*Q363</f>
        <v>159516.01512</v>
      </c>
      <c r="S363" s="292" t="s">
        <v>1591</v>
      </c>
      <c r="T363" s="289">
        <f>'Nhan cong'!$M$42</f>
        <v>145974.23076923078</v>
      </c>
      <c r="U363" s="250">
        <f>ROUND((J363+L363+N363+R363+T363),0)</f>
        <v>468001</v>
      </c>
      <c r="V363" s="250">
        <v>488855</v>
      </c>
      <c r="W363" s="250">
        <v>468001</v>
      </c>
      <c r="X363" s="250">
        <v>437416</v>
      </c>
      <c r="Y363" s="293">
        <v>156700</v>
      </c>
      <c r="Z363" s="294"/>
      <c r="AA363" s="251"/>
      <c r="AB363" s="251"/>
    </row>
    <row r="364" spans="1:28" s="295" customFormat="1" ht="15.75">
      <c r="A364" s="284">
        <v>304</v>
      </c>
      <c r="B364" s="284">
        <v>0</v>
      </c>
      <c r="C364" s="284" t="s">
        <v>1114</v>
      </c>
      <c r="D364" s="284" t="s">
        <v>3342</v>
      </c>
      <c r="E364" s="285" t="s">
        <v>1838</v>
      </c>
      <c r="F364" s="286" t="s">
        <v>1787</v>
      </c>
      <c r="G364" s="284">
        <v>240</v>
      </c>
      <c r="H364" s="284">
        <v>16</v>
      </c>
      <c r="I364" s="284">
        <v>0.95</v>
      </c>
      <c r="J364" s="287">
        <f t="shared" si="93"/>
        <v>114126.66666666666</v>
      </c>
      <c r="K364" s="288">
        <v>3.52</v>
      </c>
      <c r="L364" s="289">
        <f t="shared" si="94"/>
        <v>26429.333333333332</v>
      </c>
      <c r="M364" s="288">
        <v>5</v>
      </c>
      <c r="N364" s="289">
        <f t="shared" si="95"/>
        <v>37541.666666666664</v>
      </c>
      <c r="O364" s="290">
        <v>9</v>
      </c>
      <c r="P364" s="291" t="s">
        <v>1590</v>
      </c>
      <c r="Q364" s="288">
        <v>1.05</v>
      </c>
      <c r="R364" s="289">
        <f t="shared" si="96"/>
        <v>181268.19900000002</v>
      </c>
      <c r="S364" s="292" t="s">
        <v>1591</v>
      </c>
      <c r="T364" s="289">
        <f>'Nhan cong'!$M$42</f>
        <v>145974.23076923078</v>
      </c>
      <c r="U364" s="250">
        <f>ROUND((J364+L364+N364+R364+T364),0)</f>
        <v>505340</v>
      </c>
      <c r="V364" s="250">
        <v>526194</v>
      </c>
      <c r="W364" s="250">
        <v>505340</v>
      </c>
      <c r="X364" s="250">
        <v>474755</v>
      </c>
      <c r="Y364" s="293">
        <v>180200</v>
      </c>
      <c r="Z364" s="294"/>
      <c r="AA364" s="251"/>
      <c r="AB364" s="251"/>
    </row>
    <row r="365" spans="1:28" s="295" customFormat="1" ht="15.75">
      <c r="A365" s="284">
        <v>305</v>
      </c>
      <c r="B365" s="284">
        <v>0</v>
      </c>
      <c r="C365" s="284" t="s">
        <v>1115</v>
      </c>
      <c r="D365" s="284" t="s">
        <v>3343</v>
      </c>
      <c r="E365" s="285" t="s">
        <v>1839</v>
      </c>
      <c r="F365" s="286" t="s">
        <v>979</v>
      </c>
      <c r="G365" s="284">
        <v>240</v>
      </c>
      <c r="H365" s="284">
        <v>16</v>
      </c>
      <c r="I365" s="284">
        <v>0.95</v>
      </c>
      <c r="J365" s="287">
        <f t="shared" si="93"/>
        <v>142436.66666666663</v>
      </c>
      <c r="K365" s="288">
        <v>3.52</v>
      </c>
      <c r="L365" s="289">
        <f t="shared" si="94"/>
        <v>32985.333333333336</v>
      </c>
      <c r="M365" s="288">
        <v>5</v>
      </c>
      <c r="N365" s="289">
        <f t="shared" si="95"/>
        <v>46854.166666666664</v>
      </c>
      <c r="O365" s="290">
        <v>10.08</v>
      </c>
      <c r="P365" s="291" t="s">
        <v>1590</v>
      </c>
      <c r="Q365" s="288">
        <v>1.05</v>
      </c>
      <c r="R365" s="289">
        <f t="shared" si="96"/>
        <v>203020.38288</v>
      </c>
      <c r="S365" s="292" t="s">
        <v>1591</v>
      </c>
      <c r="T365" s="289">
        <f>'Nhan cong'!$M$42</f>
        <v>145974.23076923078</v>
      </c>
      <c r="U365" s="250">
        <f>ROUND((J365+L365+N365+R365+T365),0)-1</f>
        <v>571270</v>
      </c>
      <c r="V365" s="250">
        <v>592124</v>
      </c>
      <c r="W365" s="250">
        <v>571270</v>
      </c>
      <c r="X365" s="250">
        <v>540685</v>
      </c>
      <c r="Y365" s="293">
        <v>224900</v>
      </c>
      <c r="Z365" s="294"/>
      <c r="AA365" s="251"/>
      <c r="AB365" s="251"/>
    </row>
    <row r="366" spans="1:28" s="295" customFormat="1" ht="15.75">
      <c r="A366" s="284">
        <v>306</v>
      </c>
      <c r="B366" s="284">
        <v>0</v>
      </c>
      <c r="C366" s="284" t="s">
        <v>1116</v>
      </c>
      <c r="D366" s="284" t="s">
        <v>3344</v>
      </c>
      <c r="E366" s="285" t="s">
        <v>1840</v>
      </c>
      <c r="F366" s="286" t="s">
        <v>1117</v>
      </c>
      <c r="G366" s="284">
        <v>240</v>
      </c>
      <c r="H366" s="284">
        <v>16</v>
      </c>
      <c r="I366" s="284">
        <v>0.95</v>
      </c>
      <c r="J366" s="287">
        <f t="shared" si="93"/>
        <v>156750</v>
      </c>
      <c r="K366" s="288">
        <v>3.52</v>
      </c>
      <c r="L366" s="289">
        <f t="shared" si="94"/>
        <v>36300</v>
      </c>
      <c r="M366" s="288">
        <v>5</v>
      </c>
      <c r="N366" s="289">
        <f t="shared" si="95"/>
        <v>51562.5</v>
      </c>
      <c r="O366" s="290">
        <v>11.52</v>
      </c>
      <c r="P366" s="291" t="s">
        <v>1590</v>
      </c>
      <c r="Q366" s="288">
        <v>1.05</v>
      </c>
      <c r="R366" s="289">
        <f t="shared" si="96"/>
        <v>232023.29471999998</v>
      </c>
      <c r="S366" s="292" t="s">
        <v>1591</v>
      </c>
      <c r="T366" s="289">
        <f>'Nhan cong'!$M$42</f>
        <v>145974.23076923078</v>
      </c>
      <c r="U366" s="250">
        <f>ROUND((J366+L366+N366+R366+T366),0)</f>
        <v>622610</v>
      </c>
      <c r="V366" s="250">
        <v>643464</v>
      </c>
      <c r="W366" s="250">
        <v>622610</v>
      </c>
      <c r="X366" s="250">
        <v>592025</v>
      </c>
      <c r="Y366" s="293">
        <v>247500</v>
      </c>
      <c r="Z366" s="294"/>
      <c r="AA366" s="251"/>
      <c r="AB366" s="251"/>
    </row>
    <row r="367" spans="1:28" s="295" customFormat="1" ht="15.75">
      <c r="A367" s="284">
        <v>307</v>
      </c>
      <c r="B367" s="284">
        <v>0</v>
      </c>
      <c r="C367" s="284" t="s">
        <v>1118</v>
      </c>
      <c r="D367" s="284" t="s">
        <v>3345</v>
      </c>
      <c r="E367" s="285" t="s">
        <v>1841</v>
      </c>
      <c r="F367" s="286" t="s">
        <v>2858</v>
      </c>
      <c r="G367" s="284">
        <v>240</v>
      </c>
      <c r="H367" s="284">
        <v>16</v>
      </c>
      <c r="I367" s="284">
        <v>0.95</v>
      </c>
      <c r="J367" s="287">
        <f t="shared" si="93"/>
        <v>175940</v>
      </c>
      <c r="K367" s="288">
        <v>3.52</v>
      </c>
      <c r="L367" s="289">
        <f t="shared" si="94"/>
        <v>40744.00000000001</v>
      </c>
      <c r="M367" s="288">
        <v>5</v>
      </c>
      <c r="N367" s="289">
        <f t="shared" si="95"/>
        <v>57875</v>
      </c>
      <c r="O367" s="290">
        <v>14.4</v>
      </c>
      <c r="P367" s="291" t="s">
        <v>1590</v>
      </c>
      <c r="Q367" s="288">
        <v>1.05</v>
      </c>
      <c r="R367" s="289">
        <f t="shared" si="96"/>
        <v>290029.1184</v>
      </c>
      <c r="S367" s="292" t="s">
        <v>1591</v>
      </c>
      <c r="T367" s="289">
        <f>'Nhan cong'!$M$42</f>
        <v>145974.23076923078</v>
      </c>
      <c r="U367" s="250">
        <f>ROUND((J367+L367+N367+R367+T367),0)</f>
        <v>710562</v>
      </c>
      <c r="V367" s="250">
        <v>731416</v>
      </c>
      <c r="W367" s="250">
        <v>710562</v>
      </c>
      <c r="X367" s="250">
        <v>679977</v>
      </c>
      <c r="Y367" s="293">
        <v>277800</v>
      </c>
      <c r="Z367" s="294"/>
      <c r="AA367" s="251"/>
      <c r="AB367" s="251"/>
    </row>
    <row r="368" spans="1:28" s="295" customFormat="1" ht="15.75">
      <c r="A368" s="284">
        <v>308</v>
      </c>
      <c r="B368" s="284">
        <v>0</v>
      </c>
      <c r="C368" s="284" t="s">
        <v>1119</v>
      </c>
      <c r="D368" s="284" t="s">
        <v>3346</v>
      </c>
      <c r="E368" s="285" t="s">
        <v>1842</v>
      </c>
      <c r="F368" s="286" t="s">
        <v>857</v>
      </c>
      <c r="G368" s="284">
        <v>240</v>
      </c>
      <c r="H368" s="284">
        <v>14</v>
      </c>
      <c r="I368" s="284">
        <v>0.95</v>
      </c>
      <c r="J368" s="287">
        <f t="shared" si="93"/>
        <v>202104.58333333334</v>
      </c>
      <c r="K368" s="288">
        <v>3.08</v>
      </c>
      <c r="L368" s="289">
        <f t="shared" si="94"/>
        <v>46803.16666666667</v>
      </c>
      <c r="M368" s="288">
        <v>5</v>
      </c>
      <c r="N368" s="289">
        <f t="shared" si="95"/>
        <v>75979.16666666667</v>
      </c>
      <c r="O368" s="290">
        <v>16.2</v>
      </c>
      <c r="P368" s="291" t="s">
        <v>1590</v>
      </c>
      <c r="Q368" s="288">
        <v>1.05</v>
      </c>
      <c r="R368" s="289">
        <f t="shared" si="96"/>
        <v>326282.7582</v>
      </c>
      <c r="S368" s="292" t="s">
        <v>1591</v>
      </c>
      <c r="T368" s="289">
        <f>'Nhan cong'!$M$42</f>
        <v>145974.23076923078</v>
      </c>
      <c r="U368" s="250">
        <f>ROUND((J368+L368+N368+R368+T368),0)</f>
        <v>797144</v>
      </c>
      <c r="V368" s="250">
        <v>817998</v>
      </c>
      <c r="W368" s="250">
        <v>797144</v>
      </c>
      <c r="X368" s="250">
        <v>766559</v>
      </c>
      <c r="Y368" s="293">
        <v>364700</v>
      </c>
      <c r="Z368" s="294">
        <v>1</v>
      </c>
      <c r="AA368" s="251"/>
      <c r="AB368" s="251"/>
    </row>
    <row r="369" spans="1:28" s="295" customFormat="1" ht="15.75">
      <c r="A369" s="297"/>
      <c r="B369" s="284"/>
      <c r="D369" s="308"/>
      <c r="E369" s="272"/>
      <c r="F369" s="151" t="s">
        <v>1120</v>
      </c>
      <c r="G369" s="284"/>
      <c r="H369" s="284"/>
      <c r="I369" s="284"/>
      <c r="J369" s="299"/>
      <c r="K369" s="288"/>
      <c r="L369" s="289"/>
      <c r="M369" s="288"/>
      <c r="N369" s="300"/>
      <c r="O369" s="290"/>
      <c r="P369" s="291"/>
      <c r="Q369" s="288"/>
      <c r="R369" s="300"/>
      <c r="S369" s="292"/>
      <c r="T369" s="289"/>
      <c r="U369" s="250"/>
      <c r="V369" s="250"/>
      <c r="W369" s="250"/>
      <c r="X369" s="250"/>
      <c r="Y369" s="293"/>
      <c r="Z369" s="385"/>
      <c r="AA369" s="251"/>
      <c r="AB369" s="251"/>
    </row>
    <row r="370" spans="1:28" s="295" customFormat="1" ht="15.75">
      <c r="A370" s="284">
        <v>309</v>
      </c>
      <c r="B370" s="284" t="s">
        <v>773</v>
      </c>
      <c r="C370" s="284" t="s">
        <v>1121</v>
      </c>
      <c r="D370" s="284" t="s">
        <v>3347</v>
      </c>
      <c r="E370" s="285" t="s">
        <v>1843</v>
      </c>
      <c r="F370" s="286" t="s">
        <v>1122</v>
      </c>
      <c r="G370" s="284">
        <v>240</v>
      </c>
      <c r="H370" s="284">
        <v>14</v>
      </c>
      <c r="I370" s="284">
        <v>0.95</v>
      </c>
      <c r="J370" s="287">
        <f>Y370*H370%*I370/G370*1000</f>
        <v>377941.66666666674</v>
      </c>
      <c r="K370" s="288">
        <v>3.08</v>
      </c>
      <c r="L370" s="289">
        <f>(Y370*K370%)/G370*1000</f>
        <v>87523.33333333334</v>
      </c>
      <c r="M370" s="288">
        <v>6</v>
      </c>
      <c r="N370" s="289">
        <f>(Y370*M370%)/G370*1000</f>
        <v>170500</v>
      </c>
      <c r="O370" s="290">
        <v>44.55</v>
      </c>
      <c r="P370" s="291" t="s">
        <v>1590</v>
      </c>
      <c r="Q370" s="288">
        <v>1.05</v>
      </c>
      <c r="R370" s="289">
        <f>O370*diezel*Q370</f>
        <v>897277.5850499999</v>
      </c>
      <c r="S370" s="292" t="s">
        <v>1591</v>
      </c>
      <c r="T370" s="289">
        <f>'Nhan cong'!$M$42</f>
        <v>145974.23076923078</v>
      </c>
      <c r="U370" s="250">
        <f>ROUND((J370+L370+N370+R370+T370),0)-1</f>
        <v>1679216</v>
      </c>
      <c r="V370" s="250">
        <v>1700070</v>
      </c>
      <c r="W370" s="250">
        <v>1679216</v>
      </c>
      <c r="X370" s="250">
        <v>1648631</v>
      </c>
      <c r="Y370" s="293">
        <v>682000</v>
      </c>
      <c r="Z370" s="294">
        <v>-1</v>
      </c>
      <c r="AA370" s="251"/>
      <c r="AB370" s="251"/>
    </row>
    <row r="371" spans="1:28" s="295" customFormat="1" ht="15.75">
      <c r="A371" s="297"/>
      <c r="B371" s="284"/>
      <c r="D371" s="308"/>
      <c r="E371" s="272"/>
      <c r="F371" s="151" t="s">
        <v>1123</v>
      </c>
      <c r="G371" s="284"/>
      <c r="H371" s="284"/>
      <c r="I371" s="284"/>
      <c r="J371" s="299"/>
      <c r="K371" s="288"/>
      <c r="L371" s="289"/>
      <c r="M371" s="288"/>
      <c r="N371" s="300"/>
      <c r="O371" s="290"/>
      <c r="P371" s="291"/>
      <c r="Q371" s="288"/>
      <c r="R371" s="300"/>
      <c r="S371" s="292"/>
      <c r="T371" s="289"/>
      <c r="U371" s="250"/>
      <c r="V371" s="250"/>
      <c r="W371" s="250"/>
      <c r="X371" s="250"/>
      <c r="Y371" s="293"/>
      <c r="Z371" s="385"/>
      <c r="AA371" s="251"/>
      <c r="AB371" s="251"/>
    </row>
    <row r="372" spans="1:28" s="295" customFormat="1" ht="15.75">
      <c r="A372" s="284">
        <v>310</v>
      </c>
      <c r="B372" s="284" t="s">
        <v>784</v>
      </c>
      <c r="C372" s="284" t="s">
        <v>1124</v>
      </c>
      <c r="D372" s="284" t="s">
        <v>3348</v>
      </c>
      <c r="E372" s="285" t="s">
        <v>1844</v>
      </c>
      <c r="F372" s="286" t="s">
        <v>1125</v>
      </c>
      <c r="G372" s="284">
        <v>110</v>
      </c>
      <c r="H372" s="284">
        <v>20</v>
      </c>
      <c r="I372" s="284">
        <v>0.95</v>
      </c>
      <c r="J372" s="287">
        <f aca="true" t="shared" si="97" ref="J372:J380">Y372*H372%*I372/G372*1000</f>
        <v>24009.090909090908</v>
      </c>
      <c r="K372" s="288">
        <v>6.5</v>
      </c>
      <c r="L372" s="289">
        <f aca="true" t="shared" si="98" ref="L372:L380">(Y372*K372%)/G372*1000</f>
        <v>8213.636363636362</v>
      </c>
      <c r="M372" s="288">
        <v>5</v>
      </c>
      <c r="N372" s="289">
        <f aca="true" t="shared" si="99" ref="N372:N380">(Y372*M372%)/G372*1000</f>
        <v>6318.181818181818</v>
      </c>
      <c r="O372" s="290">
        <v>6.72</v>
      </c>
      <c r="P372" s="291" t="s">
        <v>433</v>
      </c>
      <c r="Q372" s="288">
        <v>1.07</v>
      </c>
      <c r="R372" s="289">
        <f aca="true" t="shared" si="100" ref="R372:R380">O372*dien*Q372</f>
        <v>8189.8656</v>
      </c>
      <c r="S372" s="292" t="s">
        <v>295</v>
      </c>
      <c r="T372" s="296">
        <f>'Nhan cong'!M$38</f>
        <v>125620.38461538461</v>
      </c>
      <c r="U372" s="250">
        <f aca="true" t="shared" si="101" ref="U372:U379">ROUND((J372+L372+N372+R372+T372),0)</f>
        <v>172351</v>
      </c>
      <c r="V372" s="250">
        <v>190297</v>
      </c>
      <c r="W372" s="250">
        <v>172351</v>
      </c>
      <c r="X372" s="250">
        <v>146031</v>
      </c>
      <c r="Y372" s="293">
        <v>13900</v>
      </c>
      <c r="Z372" s="294"/>
      <c r="AA372" s="251"/>
      <c r="AB372" s="251"/>
    </row>
    <row r="373" spans="1:28" s="295" customFormat="1" ht="15.75">
      <c r="A373" s="284">
        <v>311</v>
      </c>
      <c r="B373" s="284">
        <v>0</v>
      </c>
      <c r="C373" s="284" t="s">
        <v>1126</v>
      </c>
      <c r="D373" s="284" t="s">
        <v>3349</v>
      </c>
      <c r="E373" s="285" t="s">
        <v>1845</v>
      </c>
      <c r="F373" s="286" t="s">
        <v>1127</v>
      </c>
      <c r="G373" s="284">
        <v>110</v>
      </c>
      <c r="H373" s="284">
        <v>20</v>
      </c>
      <c r="I373" s="284">
        <v>0.95</v>
      </c>
      <c r="J373" s="287">
        <f t="shared" si="97"/>
        <v>30831.818181818184</v>
      </c>
      <c r="K373" s="288">
        <v>6.5</v>
      </c>
      <c r="L373" s="289">
        <f t="shared" si="98"/>
        <v>10547.727272727272</v>
      </c>
      <c r="M373" s="288">
        <v>5</v>
      </c>
      <c r="N373" s="289">
        <f t="shared" si="99"/>
        <v>8113.636363636363</v>
      </c>
      <c r="O373" s="290">
        <v>8.4</v>
      </c>
      <c r="P373" s="291" t="s">
        <v>433</v>
      </c>
      <c r="Q373" s="288">
        <v>1.07</v>
      </c>
      <c r="R373" s="289">
        <f t="shared" si="100"/>
        <v>10237.332</v>
      </c>
      <c r="S373" s="292" t="s">
        <v>295</v>
      </c>
      <c r="T373" s="296">
        <f>'Nhan cong'!M$38</f>
        <v>125620.38461538461</v>
      </c>
      <c r="U373" s="250">
        <f>ROUND((J373+L373+N373+R373+T373),0)</f>
        <v>185351</v>
      </c>
      <c r="V373" s="250">
        <v>203297</v>
      </c>
      <c r="W373" s="250">
        <v>185351</v>
      </c>
      <c r="X373" s="250">
        <v>159031</v>
      </c>
      <c r="Y373" s="293">
        <v>17850</v>
      </c>
      <c r="Z373" s="294"/>
      <c r="AA373" s="251"/>
      <c r="AB373" s="251"/>
    </row>
    <row r="374" spans="1:28" s="295" customFormat="1" ht="15.75">
      <c r="A374" s="284">
        <v>312</v>
      </c>
      <c r="B374" s="284">
        <v>0</v>
      </c>
      <c r="C374" s="284" t="s">
        <v>1128</v>
      </c>
      <c r="D374" s="284" t="s">
        <v>3350</v>
      </c>
      <c r="E374" s="285" t="s">
        <v>1846</v>
      </c>
      <c r="F374" s="286" t="s">
        <v>1129</v>
      </c>
      <c r="G374" s="284">
        <v>110</v>
      </c>
      <c r="H374" s="284">
        <v>20</v>
      </c>
      <c r="I374" s="284">
        <v>0.95</v>
      </c>
      <c r="J374" s="287">
        <f t="shared" si="97"/>
        <v>34027.27272727272</v>
      </c>
      <c r="K374" s="288">
        <v>6.5</v>
      </c>
      <c r="L374" s="289">
        <f t="shared" si="98"/>
        <v>11640.90909090909</v>
      </c>
      <c r="M374" s="288">
        <v>5</v>
      </c>
      <c r="N374" s="289">
        <f t="shared" si="99"/>
        <v>8954.545454545456</v>
      </c>
      <c r="O374" s="290">
        <v>9.6</v>
      </c>
      <c r="P374" s="291" t="s">
        <v>433</v>
      </c>
      <c r="Q374" s="288">
        <v>1.07</v>
      </c>
      <c r="R374" s="289">
        <f t="shared" si="100"/>
        <v>11699.808</v>
      </c>
      <c r="S374" s="292" t="s">
        <v>295</v>
      </c>
      <c r="T374" s="296">
        <f>'Nhan cong'!M$38</f>
        <v>125620.38461538461</v>
      </c>
      <c r="U374" s="250">
        <f>ROUND((J374+L374+N374+R374+T374),0)</f>
        <v>191943</v>
      </c>
      <c r="V374" s="250">
        <v>209889</v>
      </c>
      <c r="W374" s="250">
        <v>191943</v>
      </c>
      <c r="X374" s="250">
        <v>165623</v>
      </c>
      <c r="Y374" s="293">
        <v>19700</v>
      </c>
      <c r="Z374" s="294"/>
      <c r="AA374" s="251"/>
      <c r="AB374" s="251"/>
    </row>
    <row r="375" spans="1:28" s="295" customFormat="1" ht="15.75">
      <c r="A375" s="284">
        <v>313</v>
      </c>
      <c r="B375" s="284" t="s">
        <v>643</v>
      </c>
      <c r="C375" s="284" t="s">
        <v>1130</v>
      </c>
      <c r="D375" s="284" t="s">
        <v>3351</v>
      </c>
      <c r="E375" s="285" t="s">
        <v>1847</v>
      </c>
      <c r="F375" s="286" t="s">
        <v>1131</v>
      </c>
      <c r="G375" s="284">
        <v>110</v>
      </c>
      <c r="H375" s="284">
        <v>20</v>
      </c>
      <c r="I375" s="284">
        <v>0.95</v>
      </c>
      <c r="J375" s="287">
        <f t="shared" si="97"/>
        <v>45513.63636363637</v>
      </c>
      <c r="K375" s="288">
        <v>6.5</v>
      </c>
      <c r="L375" s="289">
        <f t="shared" si="98"/>
        <v>15570.454545454546</v>
      </c>
      <c r="M375" s="288">
        <v>5</v>
      </c>
      <c r="N375" s="289">
        <f t="shared" si="99"/>
        <v>11977.272727272726</v>
      </c>
      <c r="O375" s="290">
        <v>10.8</v>
      </c>
      <c r="P375" s="291" t="s">
        <v>433</v>
      </c>
      <c r="Q375" s="288">
        <v>1.07</v>
      </c>
      <c r="R375" s="289">
        <f t="shared" si="100"/>
        <v>13162.284000000001</v>
      </c>
      <c r="S375" s="292" t="s">
        <v>295</v>
      </c>
      <c r="T375" s="296">
        <f>'Nhan cong'!M$38</f>
        <v>125620.38461538461</v>
      </c>
      <c r="U375" s="250">
        <f t="shared" si="101"/>
        <v>211844</v>
      </c>
      <c r="V375" s="250">
        <v>229790</v>
      </c>
      <c r="W375" s="250">
        <v>211844</v>
      </c>
      <c r="X375" s="250">
        <v>185524</v>
      </c>
      <c r="Y375" s="293">
        <v>26350</v>
      </c>
      <c r="Z375" s="294"/>
      <c r="AA375" s="251"/>
      <c r="AB375" s="251"/>
    </row>
    <row r="376" spans="1:28" s="295" customFormat="1" ht="15.75">
      <c r="A376" s="284">
        <v>314</v>
      </c>
      <c r="B376" s="284">
        <v>0</v>
      </c>
      <c r="C376" s="284" t="s">
        <v>1132</v>
      </c>
      <c r="D376" s="284" t="s">
        <v>3352</v>
      </c>
      <c r="E376" s="285" t="s">
        <v>1848</v>
      </c>
      <c r="F376" s="286" t="s">
        <v>1133</v>
      </c>
      <c r="G376" s="284">
        <v>110</v>
      </c>
      <c r="H376" s="284">
        <v>20</v>
      </c>
      <c r="I376" s="284">
        <v>0.95</v>
      </c>
      <c r="J376" s="287">
        <f t="shared" si="97"/>
        <v>78590.90909090909</v>
      </c>
      <c r="K376" s="288">
        <v>6.5</v>
      </c>
      <c r="L376" s="289">
        <f t="shared" si="98"/>
        <v>26886.363636363636</v>
      </c>
      <c r="M376" s="288">
        <v>5</v>
      </c>
      <c r="N376" s="289">
        <f t="shared" si="99"/>
        <v>20681.818181818184</v>
      </c>
      <c r="O376" s="290">
        <v>24</v>
      </c>
      <c r="P376" s="291" t="s">
        <v>433</v>
      </c>
      <c r="Q376" s="288">
        <v>1.07</v>
      </c>
      <c r="R376" s="289">
        <f t="shared" si="100"/>
        <v>29249.52</v>
      </c>
      <c r="S376" s="292" t="s">
        <v>1591</v>
      </c>
      <c r="T376" s="289">
        <f>'Nhan cong'!$M$42</f>
        <v>145974.23076923078</v>
      </c>
      <c r="U376" s="250">
        <f>ROUND((J376+L376+N376+R376+T376),0)</f>
        <v>301383</v>
      </c>
      <c r="V376" s="250">
        <v>322237</v>
      </c>
      <c r="W376" s="250">
        <v>301383</v>
      </c>
      <c r="X376" s="250">
        <v>270798</v>
      </c>
      <c r="Y376" s="293">
        <v>45500</v>
      </c>
      <c r="Z376" s="294"/>
      <c r="AA376" s="251"/>
      <c r="AB376" s="251"/>
    </row>
    <row r="377" spans="1:28" s="295" customFormat="1" ht="15.75">
      <c r="A377" s="284">
        <v>315</v>
      </c>
      <c r="B377" s="284" t="s">
        <v>644</v>
      </c>
      <c r="C377" s="284" t="s">
        <v>1134</v>
      </c>
      <c r="D377" s="284" t="s">
        <v>3353</v>
      </c>
      <c r="E377" s="285" t="s">
        <v>1849</v>
      </c>
      <c r="F377" s="286" t="s">
        <v>1135</v>
      </c>
      <c r="G377" s="284">
        <v>140</v>
      </c>
      <c r="H377" s="284">
        <v>20</v>
      </c>
      <c r="I377" s="284">
        <v>0.95</v>
      </c>
      <c r="J377" s="287">
        <f t="shared" si="97"/>
        <v>79392.85714285714</v>
      </c>
      <c r="K377" s="288">
        <v>6.5</v>
      </c>
      <c r="L377" s="289">
        <f t="shared" si="98"/>
        <v>27160.714285714286</v>
      </c>
      <c r="M377" s="288">
        <v>5</v>
      </c>
      <c r="N377" s="289">
        <f t="shared" si="99"/>
        <v>20892.85714285714</v>
      </c>
      <c r="O377" s="290">
        <v>33.6</v>
      </c>
      <c r="P377" s="291" t="s">
        <v>433</v>
      </c>
      <c r="Q377" s="288">
        <v>1.07</v>
      </c>
      <c r="R377" s="289">
        <f t="shared" si="100"/>
        <v>40949.328</v>
      </c>
      <c r="S377" s="292" t="s">
        <v>1591</v>
      </c>
      <c r="T377" s="289">
        <f>'Nhan cong'!$M$42</f>
        <v>145974.23076923078</v>
      </c>
      <c r="U377" s="250">
        <f>ROUND((J377+L377+N377+R377+T377),0)</f>
        <v>314370</v>
      </c>
      <c r="V377" s="250">
        <v>335224</v>
      </c>
      <c r="W377" s="250">
        <v>314370</v>
      </c>
      <c r="X377" s="250">
        <v>283785</v>
      </c>
      <c r="Y377" s="293">
        <v>58500</v>
      </c>
      <c r="Z377" s="294"/>
      <c r="AA377" s="251"/>
      <c r="AB377" s="251"/>
    </row>
    <row r="378" spans="1:28" s="295" customFormat="1" ht="15.75">
      <c r="A378" s="284">
        <v>316</v>
      </c>
      <c r="B378" s="284">
        <v>0</v>
      </c>
      <c r="C378" s="284" t="s">
        <v>1136</v>
      </c>
      <c r="D378" s="284" t="s">
        <v>3354</v>
      </c>
      <c r="E378" s="285" t="s">
        <v>1850</v>
      </c>
      <c r="F378" s="286" t="s">
        <v>1137</v>
      </c>
      <c r="G378" s="284">
        <v>140</v>
      </c>
      <c r="H378" s="284">
        <v>20</v>
      </c>
      <c r="I378" s="284">
        <v>0.95</v>
      </c>
      <c r="J378" s="287">
        <f t="shared" si="97"/>
        <v>107214.28571428571</v>
      </c>
      <c r="K378" s="288">
        <v>6.5</v>
      </c>
      <c r="L378" s="289">
        <f t="shared" si="98"/>
        <v>36678.57142857143</v>
      </c>
      <c r="M378" s="288">
        <v>5</v>
      </c>
      <c r="N378" s="289">
        <f t="shared" si="99"/>
        <v>28214.285714285714</v>
      </c>
      <c r="O378" s="290">
        <v>60</v>
      </c>
      <c r="P378" s="291" t="s">
        <v>433</v>
      </c>
      <c r="Q378" s="288">
        <v>1.07</v>
      </c>
      <c r="R378" s="289">
        <f t="shared" si="100"/>
        <v>73123.8</v>
      </c>
      <c r="S378" s="292" t="s">
        <v>1591</v>
      </c>
      <c r="T378" s="289">
        <f>'Nhan cong'!$M$42</f>
        <v>145974.23076923078</v>
      </c>
      <c r="U378" s="250">
        <f t="shared" si="101"/>
        <v>391205</v>
      </c>
      <c r="V378" s="250">
        <v>412059</v>
      </c>
      <c r="W378" s="250">
        <v>391205</v>
      </c>
      <c r="X378" s="250">
        <v>360620</v>
      </c>
      <c r="Y378" s="293">
        <v>79000</v>
      </c>
      <c r="Z378" s="294"/>
      <c r="AA378" s="251"/>
      <c r="AB378" s="251"/>
    </row>
    <row r="379" spans="1:28" s="295" customFormat="1" ht="15.75">
      <c r="A379" s="284">
        <v>317</v>
      </c>
      <c r="B379" s="284">
        <v>0</v>
      </c>
      <c r="C379" s="284" t="s">
        <v>1138</v>
      </c>
      <c r="D379" s="284" t="s">
        <v>3355</v>
      </c>
      <c r="E379" s="285" t="s">
        <v>1851</v>
      </c>
      <c r="F379" s="286" t="s">
        <v>1139</v>
      </c>
      <c r="G379" s="284">
        <v>140</v>
      </c>
      <c r="H379" s="284">
        <v>20</v>
      </c>
      <c r="I379" s="284">
        <v>0.95</v>
      </c>
      <c r="J379" s="287">
        <f t="shared" si="97"/>
        <v>135985.7142857143</v>
      </c>
      <c r="K379" s="288">
        <v>6.3</v>
      </c>
      <c r="L379" s="289">
        <f t="shared" si="98"/>
        <v>45090</v>
      </c>
      <c r="M379" s="288">
        <v>5</v>
      </c>
      <c r="N379" s="289">
        <f t="shared" si="99"/>
        <v>35785.71428571428</v>
      </c>
      <c r="O379" s="290">
        <v>72</v>
      </c>
      <c r="P379" s="291" t="s">
        <v>433</v>
      </c>
      <c r="Q379" s="288">
        <v>1.07</v>
      </c>
      <c r="R379" s="289">
        <f t="shared" si="100"/>
        <v>87748.56000000001</v>
      </c>
      <c r="S379" s="292" t="s">
        <v>1591</v>
      </c>
      <c r="T379" s="289">
        <f>'Nhan cong'!$M$42</f>
        <v>145974.23076923078</v>
      </c>
      <c r="U379" s="250">
        <f t="shared" si="101"/>
        <v>450584</v>
      </c>
      <c r="V379" s="250">
        <v>471438</v>
      </c>
      <c r="W379" s="250">
        <v>450584</v>
      </c>
      <c r="X379" s="250">
        <v>419999</v>
      </c>
      <c r="Y379" s="293">
        <v>100200</v>
      </c>
      <c r="Z379" s="294"/>
      <c r="AA379" s="251"/>
      <c r="AB379" s="251"/>
    </row>
    <row r="380" spans="1:28" s="295" customFormat="1" ht="15.75">
      <c r="A380" s="284">
        <v>318</v>
      </c>
      <c r="B380" s="284">
        <v>0</v>
      </c>
      <c r="C380" s="284" t="s">
        <v>1140</v>
      </c>
      <c r="D380" s="284" t="s">
        <v>3356</v>
      </c>
      <c r="E380" s="285" t="s">
        <v>1852</v>
      </c>
      <c r="F380" s="286" t="s">
        <v>1141</v>
      </c>
      <c r="G380" s="284">
        <v>140</v>
      </c>
      <c r="H380" s="284">
        <v>20</v>
      </c>
      <c r="I380" s="284">
        <v>0.95</v>
      </c>
      <c r="J380" s="287">
        <f t="shared" si="97"/>
        <v>186607.14285714287</v>
      </c>
      <c r="K380" s="288">
        <v>6.3</v>
      </c>
      <c r="L380" s="289">
        <f t="shared" si="98"/>
        <v>61875</v>
      </c>
      <c r="M380" s="288">
        <v>5</v>
      </c>
      <c r="N380" s="289">
        <f t="shared" si="99"/>
        <v>49107.142857142855</v>
      </c>
      <c r="O380" s="290">
        <v>96</v>
      </c>
      <c r="P380" s="291" t="s">
        <v>433</v>
      </c>
      <c r="Q380" s="288">
        <v>1.07</v>
      </c>
      <c r="R380" s="289">
        <f t="shared" si="100"/>
        <v>116998.08</v>
      </c>
      <c r="S380" s="292" t="s">
        <v>1591</v>
      </c>
      <c r="T380" s="289">
        <f>'Nhan cong'!$M$42</f>
        <v>145974.23076923078</v>
      </c>
      <c r="U380" s="250">
        <f>ROUND((J380+L380+N380+R380+T380),0)-1</f>
        <v>560561</v>
      </c>
      <c r="V380" s="250">
        <v>581415</v>
      </c>
      <c r="W380" s="250">
        <v>560561</v>
      </c>
      <c r="X380" s="250">
        <v>529976</v>
      </c>
      <c r="Y380" s="293">
        <v>137500</v>
      </c>
      <c r="Z380" s="294">
        <v>-1</v>
      </c>
      <c r="AA380" s="251"/>
      <c r="AB380" s="251"/>
    </row>
    <row r="381" spans="1:28" s="295" customFormat="1" ht="15.75">
      <c r="A381" s="297"/>
      <c r="B381" s="284"/>
      <c r="D381" s="308"/>
      <c r="E381" s="272"/>
      <c r="F381" s="151" t="s">
        <v>1142</v>
      </c>
      <c r="G381" s="284"/>
      <c r="H381" s="284"/>
      <c r="I381" s="284"/>
      <c r="J381" s="299"/>
      <c r="K381" s="288"/>
      <c r="L381" s="289"/>
      <c r="M381" s="288"/>
      <c r="N381" s="300"/>
      <c r="O381" s="290"/>
      <c r="P381" s="291"/>
      <c r="Q381" s="288"/>
      <c r="R381" s="300"/>
      <c r="S381" s="292"/>
      <c r="T381" s="289"/>
      <c r="U381" s="250"/>
      <c r="V381" s="250"/>
      <c r="W381" s="250"/>
      <c r="X381" s="250"/>
      <c r="Y381" s="293"/>
      <c r="Z381" s="385"/>
      <c r="AA381" s="251"/>
      <c r="AB381" s="251"/>
    </row>
    <row r="382" spans="1:28" s="295" customFormat="1" ht="15.75">
      <c r="A382" s="284">
        <v>319</v>
      </c>
      <c r="B382" s="284" t="s">
        <v>646</v>
      </c>
      <c r="C382" s="284" t="s">
        <v>1143</v>
      </c>
      <c r="D382" s="284" t="s">
        <v>3357</v>
      </c>
      <c r="E382" s="285" t="s">
        <v>1853</v>
      </c>
      <c r="F382" s="286" t="s">
        <v>1144</v>
      </c>
      <c r="G382" s="284">
        <v>120</v>
      </c>
      <c r="H382" s="284">
        <v>20</v>
      </c>
      <c r="I382" s="284">
        <v>1</v>
      </c>
      <c r="J382" s="287">
        <f aca="true" t="shared" si="102" ref="J382:J387">Y382*H382%*I382/G382*1000</f>
        <v>18666.666666666668</v>
      </c>
      <c r="K382" s="288">
        <v>6.8</v>
      </c>
      <c r="L382" s="289">
        <f aca="true" t="shared" si="103" ref="L382:L387">(Y382*K382%)/G382*1000</f>
        <v>6346.666666666667</v>
      </c>
      <c r="M382" s="288">
        <v>5</v>
      </c>
      <c r="N382" s="289">
        <f aca="true" t="shared" si="104" ref="N382:N387">(Y382*M382%)/G382*1000</f>
        <v>4666.666666666667</v>
      </c>
      <c r="O382" s="290">
        <v>5.28</v>
      </c>
      <c r="P382" s="291" t="s">
        <v>433</v>
      </c>
      <c r="Q382" s="288">
        <v>1.07</v>
      </c>
      <c r="R382" s="289">
        <f aca="true" t="shared" si="105" ref="R382:R387">O382*dien*Q382</f>
        <v>6434.8944</v>
      </c>
      <c r="S382" s="292" t="s">
        <v>295</v>
      </c>
      <c r="T382" s="296">
        <f>'Nhan cong'!M$38</f>
        <v>125620.38461538461</v>
      </c>
      <c r="U382" s="250">
        <f aca="true" t="shared" si="106" ref="U382:U387">ROUND((J382+L382+N382+R382+T382),0)</f>
        <v>161735</v>
      </c>
      <c r="V382" s="250">
        <v>178748</v>
      </c>
      <c r="W382" s="250">
        <v>160802</v>
      </c>
      <c r="X382" s="250">
        <v>134482</v>
      </c>
      <c r="Y382" s="293">
        <v>11200</v>
      </c>
      <c r="Z382" s="294"/>
      <c r="AA382" s="251">
        <v>160802</v>
      </c>
      <c r="AB382" s="251"/>
    </row>
    <row r="383" spans="1:28" s="295" customFormat="1" ht="15.75">
      <c r="A383" s="284">
        <v>320</v>
      </c>
      <c r="B383" s="284">
        <v>0</v>
      </c>
      <c r="C383" s="284" t="s">
        <v>1145</v>
      </c>
      <c r="D383" s="284" t="s">
        <v>3358</v>
      </c>
      <c r="E383" s="285" t="s">
        <v>1854</v>
      </c>
      <c r="F383" s="286" t="s">
        <v>1146</v>
      </c>
      <c r="G383" s="284">
        <v>120</v>
      </c>
      <c r="H383" s="284">
        <v>20</v>
      </c>
      <c r="I383" s="284">
        <v>1</v>
      </c>
      <c r="J383" s="287">
        <f t="shared" si="102"/>
        <v>21416.666666666668</v>
      </c>
      <c r="K383" s="288">
        <v>6.8</v>
      </c>
      <c r="L383" s="289">
        <f t="shared" si="103"/>
        <v>7281.666666666667</v>
      </c>
      <c r="M383" s="288">
        <v>5</v>
      </c>
      <c r="N383" s="289">
        <f t="shared" si="104"/>
        <v>5354.166666666667</v>
      </c>
      <c r="O383" s="290">
        <v>7.68</v>
      </c>
      <c r="P383" s="291" t="s">
        <v>433</v>
      </c>
      <c r="Q383" s="288">
        <v>1.07</v>
      </c>
      <c r="R383" s="289">
        <f t="shared" si="105"/>
        <v>9359.8464</v>
      </c>
      <c r="S383" s="292" t="s">
        <v>295</v>
      </c>
      <c r="T383" s="296">
        <f>'Nhan cong'!M$38</f>
        <v>125620.38461538461</v>
      </c>
      <c r="U383" s="250">
        <f t="shared" si="106"/>
        <v>169033</v>
      </c>
      <c r="V383" s="250">
        <v>185908</v>
      </c>
      <c r="W383" s="250">
        <v>167962</v>
      </c>
      <c r="X383" s="250">
        <v>141642</v>
      </c>
      <c r="Y383" s="293">
        <v>12850</v>
      </c>
      <c r="Z383" s="294"/>
      <c r="AA383" s="251">
        <v>167962</v>
      </c>
      <c r="AB383" s="251"/>
    </row>
    <row r="384" spans="1:28" s="295" customFormat="1" ht="15.75">
      <c r="A384" s="284">
        <v>321</v>
      </c>
      <c r="B384" s="284">
        <v>0</v>
      </c>
      <c r="C384" s="284" t="s">
        <v>1147</v>
      </c>
      <c r="D384" s="284" t="s">
        <v>3359</v>
      </c>
      <c r="E384" s="285" t="s">
        <v>1855</v>
      </c>
      <c r="F384" s="286" t="s">
        <v>1127</v>
      </c>
      <c r="G384" s="284">
        <v>120</v>
      </c>
      <c r="H384" s="284">
        <v>20</v>
      </c>
      <c r="I384" s="284">
        <v>0.95</v>
      </c>
      <c r="J384" s="287">
        <f t="shared" si="102"/>
        <v>24620.833333333332</v>
      </c>
      <c r="K384" s="288">
        <v>6.8</v>
      </c>
      <c r="L384" s="289">
        <f t="shared" si="103"/>
        <v>8811.666666666668</v>
      </c>
      <c r="M384" s="288">
        <v>5</v>
      </c>
      <c r="N384" s="289">
        <f t="shared" si="104"/>
        <v>6479.166666666667</v>
      </c>
      <c r="O384" s="290">
        <v>8.4</v>
      </c>
      <c r="P384" s="291" t="s">
        <v>433</v>
      </c>
      <c r="Q384" s="288">
        <v>1.07</v>
      </c>
      <c r="R384" s="289">
        <f t="shared" si="105"/>
        <v>10237.332</v>
      </c>
      <c r="S384" s="292" t="s">
        <v>295</v>
      </c>
      <c r="T384" s="296">
        <f>'Nhan cong'!M$38</f>
        <v>125620.38461538461</v>
      </c>
      <c r="U384" s="250">
        <f t="shared" si="106"/>
        <v>175769</v>
      </c>
      <c r="V384" s="250">
        <v>193715</v>
      </c>
      <c r="W384" s="250">
        <v>175769</v>
      </c>
      <c r="X384" s="250">
        <v>149449</v>
      </c>
      <c r="Y384" s="293">
        <v>15550</v>
      </c>
      <c r="Z384" s="294"/>
      <c r="AA384" s="251"/>
      <c r="AB384" s="251"/>
    </row>
    <row r="385" spans="1:28" s="295" customFormat="1" ht="15.75">
      <c r="A385" s="284">
        <v>322</v>
      </c>
      <c r="B385" s="284">
        <v>0</v>
      </c>
      <c r="C385" s="284" t="s">
        <v>1148</v>
      </c>
      <c r="D385" s="284" t="s">
        <v>3360</v>
      </c>
      <c r="E385" s="285" t="s">
        <v>1856</v>
      </c>
      <c r="F385" s="286" t="s">
        <v>1129</v>
      </c>
      <c r="G385" s="284">
        <v>120</v>
      </c>
      <c r="H385" s="284">
        <v>20</v>
      </c>
      <c r="I385" s="284">
        <v>0.95</v>
      </c>
      <c r="J385" s="287">
        <f t="shared" si="102"/>
        <v>28420.833333333336</v>
      </c>
      <c r="K385" s="288">
        <v>6.8</v>
      </c>
      <c r="L385" s="289">
        <f t="shared" si="103"/>
        <v>10171.666666666668</v>
      </c>
      <c r="M385" s="288">
        <v>5</v>
      </c>
      <c r="N385" s="289">
        <f t="shared" si="104"/>
        <v>7479.166666666667</v>
      </c>
      <c r="O385" s="290">
        <v>9.6</v>
      </c>
      <c r="P385" s="291" t="s">
        <v>433</v>
      </c>
      <c r="Q385" s="288">
        <v>1.07</v>
      </c>
      <c r="R385" s="289">
        <f t="shared" si="105"/>
        <v>11699.808</v>
      </c>
      <c r="S385" s="292" t="s">
        <v>295</v>
      </c>
      <c r="T385" s="296">
        <f>'Nhan cong'!M$38</f>
        <v>125620.38461538461</v>
      </c>
      <c r="U385" s="250">
        <f>ROUND((J385+L385+N385+R385+T385),0)-1</f>
        <v>183391</v>
      </c>
      <c r="V385" s="250">
        <v>201337</v>
      </c>
      <c r="W385" s="250">
        <v>183391</v>
      </c>
      <c r="X385" s="250">
        <v>157071</v>
      </c>
      <c r="Y385" s="293">
        <v>17950</v>
      </c>
      <c r="Z385" s="294">
        <v>-1</v>
      </c>
      <c r="AA385" s="251"/>
      <c r="AB385" s="251"/>
    </row>
    <row r="386" spans="1:28" s="295" customFormat="1" ht="15.75">
      <c r="A386" s="284">
        <v>323</v>
      </c>
      <c r="B386" s="284">
        <v>0</v>
      </c>
      <c r="C386" s="284" t="s">
        <v>1149</v>
      </c>
      <c r="D386" s="284" t="s">
        <v>3361</v>
      </c>
      <c r="E386" s="285" t="s">
        <v>1857</v>
      </c>
      <c r="F386" s="286" t="s">
        <v>1131</v>
      </c>
      <c r="G386" s="284">
        <v>120</v>
      </c>
      <c r="H386" s="284">
        <v>20</v>
      </c>
      <c r="I386" s="284">
        <v>0.95</v>
      </c>
      <c r="J386" s="287">
        <f t="shared" si="102"/>
        <v>31587.5</v>
      </c>
      <c r="K386" s="288">
        <v>6.8</v>
      </c>
      <c r="L386" s="289">
        <f t="shared" si="103"/>
        <v>11305.000000000002</v>
      </c>
      <c r="M386" s="288">
        <v>5</v>
      </c>
      <c r="N386" s="289">
        <f t="shared" si="104"/>
        <v>8312.5</v>
      </c>
      <c r="O386" s="290">
        <v>10.8</v>
      </c>
      <c r="P386" s="291" t="s">
        <v>433</v>
      </c>
      <c r="Q386" s="288">
        <v>1.07</v>
      </c>
      <c r="R386" s="289">
        <f t="shared" si="105"/>
        <v>13162.284000000001</v>
      </c>
      <c r="S386" s="292" t="s">
        <v>295</v>
      </c>
      <c r="T386" s="296">
        <f>'Nhan cong'!M$38</f>
        <v>125620.38461538461</v>
      </c>
      <c r="U386" s="250">
        <f>ROUND((J386+L386+N386+R386+T386),0)-1</f>
        <v>189987</v>
      </c>
      <c r="V386" s="250">
        <v>207933</v>
      </c>
      <c r="W386" s="250">
        <v>189987</v>
      </c>
      <c r="X386" s="250">
        <v>163667</v>
      </c>
      <c r="Y386" s="293">
        <v>19950</v>
      </c>
      <c r="Z386" s="294">
        <v>-1</v>
      </c>
      <c r="AA386" s="251"/>
      <c r="AB386" s="251"/>
    </row>
    <row r="387" spans="1:28" s="295" customFormat="1" ht="15.75">
      <c r="A387" s="284">
        <v>324</v>
      </c>
      <c r="B387" s="284">
        <v>0</v>
      </c>
      <c r="C387" s="284" t="s">
        <v>1150</v>
      </c>
      <c r="D387" s="284" t="s">
        <v>3362</v>
      </c>
      <c r="E387" s="285" t="s">
        <v>1858</v>
      </c>
      <c r="F387" s="286" t="s">
        <v>1151</v>
      </c>
      <c r="G387" s="284">
        <v>120</v>
      </c>
      <c r="H387" s="284">
        <v>20</v>
      </c>
      <c r="I387" s="284">
        <v>0.95</v>
      </c>
      <c r="J387" s="287">
        <f t="shared" si="102"/>
        <v>44729.166666666664</v>
      </c>
      <c r="K387" s="288">
        <v>6.8</v>
      </c>
      <c r="L387" s="289">
        <f t="shared" si="103"/>
        <v>16008.333333333336</v>
      </c>
      <c r="M387" s="288">
        <v>5</v>
      </c>
      <c r="N387" s="289">
        <f t="shared" si="104"/>
        <v>11770.833333333334</v>
      </c>
      <c r="O387" s="290">
        <v>16.8</v>
      </c>
      <c r="P387" s="291" t="s">
        <v>433</v>
      </c>
      <c r="Q387" s="288">
        <v>1.07</v>
      </c>
      <c r="R387" s="289">
        <f t="shared" si="105"/>
        <v>20474.664</v>
      </c>
      <c r="S387" s="292" t="s">
        <v>295</v>
      </c>
      <c r="T387" s="296">
        <f>'Nhan cong'!M$38</f>
        <v>125620.38461538461</v>
      </c>
      <c r="U387" s="250">
        <f t="shared" si="106"/>
        <v>218603</v>
      </c>
      <c r="V387" s="250">
        <v>236549</v>
      </c>
      <c r="W387" s="250">
        <v>218603</v>
      </c>
      <c r="X387" s="250">
        <v>192283</v>
      </c>
      <c r="Y387" s="293">
        <v>28250</v>
      </c>
      <c r="Z387" s="294"/>
      <c r="AA387" s="251"/>
      <c r="AB387" s="251"/>
    </row>
    <row r="388" spans="1:28" s="295" customFormat="1" ht="15.75">
      <c r="A388" s="297"/>
      <c r="B388" s="284"/>
      <c r="D388" s="308"/>
      <c r="E388" s="272"/>
      <c r="F388" s="151" t="s">
        <v>1152</v>
      </c>
      <c r="G388" s="284"/>
      <c r="H388" s="284"/>
      <c r="I388" s="284"/>
      <c r="J388" s="299"/>
      <c r="K388" s="288"/>
      <c r="L388" s="289"/>
      <c r="M388" s="288"/>
      <c r="N388" s="300"/>
      <c r="O388" s="290"/>
      <c r="P388" s="291"/>
      <c r="Q388" s="288"/>
      <c r="R388" s="300"/>
      <c r="S388" s="292"/>
      <c r="T388" s="296"/>
      <c r="U388" s="250"/>
      <c r="V388" s="250"/>
      <c r="W388" s="250"/>
      <c r="X388" s="250"/>
      <c r="Y388" s="293"/>
      <c r="Z388" s="385"/>
      <c r="AA388" s="251"/>
      <c r="AB388" s="251"/>
    </row>
    <row r="389" spans="1:28" s="295" customFormat="1" ht="15.75">
      <c r="A389" s="284">
        <v>325</v>
      </c>
      <c r="B389" s="284" t="s">
        <v>705</v>
      </c>
      <c r="C389" s="284" t="s">
        <v>1153</v>
      </c>
      <c r="D389" s="284" t="s">
        <v>3363</v>
      </c>
      <c r="E389" s="285" t="s">
        <v>1859</v>
      </c>
      <c r="F389" s="286" t="s">
        <v>1154</v>
      </c>
      <c r="G389" s="284">
        <v>220</v>
      </c>
      <c r="H389" s="284">
        <v>18</v>
      </c>
      <c r="I389" s="284">
        <v>0.95</v>
      </c>
      <c r="J389" s="287">
        <f aca="true" t="shared" si="107" ref="J389:J398">Y389*H389%*I389/G389*1000</f>
        <v>615444.5454545454</v>
      </c>
      <c r="K389" s="301">
        <v>5.8</v>
      </c>
      <c r="L389" s="289">
        <f aca="true" t="shared" si="108" ref="L389:L398">(Y389*K389%)/G389*1000</f>
        <v>208747.2727272727</v>
      </c>
      <c r="M389" s="301">
        <v>5</v>
      </c>
      <c r="N389" s="289">
        <f aca="true" t="shared" si="109" ref="N389:N398">(Y389*M389%)/G389*1000</f>
        <v>179954.54545454547</v>
      </c>
      <c r="O389" s="302">
        <v>92.4</v>
      </c>
      <c r="P389" s="272" t="s">
        <v>433</v>
      </c>
      <c r="Q389" s="288">
        <v>1.07</v>
      </c>
      <c r="R389" s="289">
        <f aca="true" t="shared" si="110" ref="R389:R398">O389*dien*Q389</f>
        <v>112610.65200000002</v>
      </c>
      <c r="S389" s="284" t="s">
        <v>1600</v>
      </c>
      <c r="T389" s="296">
        <f>Nii3+Nii5</f>
        <v>296019.23076923075</v>
      </c>
      <c r="U389" s="250">
        <f aca="true" t="shared" si="111" ref="U389:U397">ROUND((J389+L389+N389+R389+T389),0)</f>
        <v>1412776</v>
      </c>
      <c r="V389" s="250">
        <v>1455065</v>
      </c>
      <c r="W389" s="250">
        <v>1412776</v>
      </c>
      <c r="X389" s="250">
        <v>1350753</v>
      </c>
      <c r="Y389" s="293">
        <v>791800</v>
      </c>
      <c r="Z389" s="294"/>
      <c r="AA389" s="251"/>
      <c r="AB389" s="251"/>
    </row>
    <row r="390" spans="1:28" s="295" customFormat="1" ht="15.75">
      <c r="A390" s="284">
        <v>326</v>
      </c>
      <c r="B390" s="284">
        <v>0</v>
      </c>
      <c r="C390" s="284" t="s">
        <v>1155</v>
      </c>
      <c r="D390" s="284" t="s">
        <v>3364</v>
      </c>
      <c r="E390" s="285" t="s">
        <v>1860</v>
      </c>
      <c r="F390" s="286" t="s">
        <v>1156</v>
      </c>
      <c r="G390" s="284">
        <v>220</v>
      </c>
      <c r="H390" s="284">
        <v>18</v>
      </c>
      <c r="I390" s="284">
        <v>0.95</v>
      </c>
      <c r="J390" s="287">
        <f t="shared" si="107"/>
        <v>724185</v>
      </c>
      <c r="K390" s="288">
        <v>5.6</v>
      </c>
      <c r="L390" s="289">
        <f t="shared" si="108"/>
        <v>237160</v>
      </c>
      <c r="M390" s="288">
        <v>5</v>
      </c>
      <c r="N390" s="289">
        <f t="shared" si="109"/>
        <v>211750</v>
      </c>
      <c r="O390" s="290">
        <v>92.4</v>
      </c>
      <c r="P390" s="291" t="s">
        <v>433</v>
      </c>
      <c r="Q390" s="288">
        <v>1.07</v>
      </c>
      <c r="R390" s="289">
        <f t="shared" si="110"/>
        <v>112610.65200000002</v>
      </c>
      <c r="S390" s="292" t="s">
        <v>1600</v>
      </c>
      <c r="T390" s="296">
        <f>'Nhan cong'!M$38+'Nhan cong'!M$46</f>
        <v>296019.23076923075</v>
      </c>
      <c r="U390" s="250">
        <f>ROUND((J390+L390+N390+R390+T390),0)</f>
        <v>1581725</v>
      </c>
      <c r="V390" s="250">
        <v>1624014</v>
      </c>
      <c r="W390" s="250">
        <v>1581725</v>
      </c>
      <c r="X390" s="250">
        <v>1519702</v>
      </c>
      <c r="Y390" s="293">
        <v>931700</v>
      </c>
      <c r="Z390" s="294"/>
      <c r="AA390" s="251"/>
      <c r="AB390" s="251"/>
    </row>
    <row r="391" spans="1:28" s="295" customFormat="1" ht="15.75">
      <c r="A391" s="284">
        <v>327</v>
      </c>
      <c r="B391" s="284">
        <v>0</v>
      </c>
      <c r="C391" s="284" t="s">
        <v>1157</v>
      </c>
      <c r="D391" s="284" t="s">
        <v>3365</v>
      </c>
      <c r="E391" s="285" t="s">
        <v>1861</v>
      </c>
      <c r="F391" s="286" t="s">
        <v>1158</v>
      </c>
      <c r="G391" s="284">
        <v>220</v>
      </c>
      <c r="H391" s="284">
        <v>18</v>
      </c>
      <c r="I391" s="284">
        <v>0.95</v>
      </c>
      <c r="J391" s="287">
        <f t="shared" si="107"/>
        <v>808441.3636363636</v>
      </c>
      <c r="K391" s="288">
        <v>5.6</v>
      </c>
      <c r="L391" s="289">
        <f t="shared" si="108"/>
        <v>264752.72727272724</v>
      </c>
      <c r="M391" s="288">
        <v>5</v>
      </c>
      <c r="N391" s="289">
        <f t="shared" si="109"/>
        <v>236386.36363636362</v>
      </c>
      <c r="O391" s="290">
        <v>99</v>
      </c>
      <c r="P391" s="291" t="s">
        <v>433</v>
      </c>
      <c r="Q391" s="288">
        <v>1.07</v>
      </c>
      <c r="R391" s="289">
        <f t="shared" si="110"/>
        <v>120654.27</v>
      </c>
      <c r="S391" s="292" t="s">
        <v>1600</v>
      </c>
      <c r="T391" s="296">
        <f>'Nhan cong'!M$38+'Nhan cong'!M$46</f>
        <v>296019.23076923075</v>
      </c>
      <c r="U391" s="250">
        <f>ROUND((J391+L391+N391+R391+T391),0)</f>
        <v>1726254</v>
      </c>
      <c r="V391" s="250">
        <v>1768543</v>
      </c>
      <c r="W391" s="250">
        <v>1726254</v>
      </c>
      <c r="X391" s="250">
        <v>1664231</v>
      </c>
      <c r="Y391" s="293">
        <v>1040100</v>
      </c>
      <c r="Z391" s="294"/>
      <c r="AA391" s="251"/>
      <c r="AB391" s="251"/>
    </row>
    <row r="392" spans="1:28" s="295" customFormat="1" ht="15.75">
      <c r="A392" s="284">
        <v>328</v>
      </c>
      <c r="B392" s="284" t="s">
        <v>707</v>
      </c>
      <c r="C392" s="284" t="s">
        <v>1159</v>
      </c>
      <c r="D392" s="284" t="s">
        <v>3366</v>
      </c>
      <c r="E392" s="285" t="s">
        <v>1862</v>
      </c>
      <c r="F392" s="286" t="s">
        <v>1160</v>
      </c>
      <c r="G392" s="284">
        <v>220</v>
      </c>
      <c r="H392" s="284">
        <v>18</v>
      </c>
      <c r="I392" s="284">
        <v>0.95</v>
      </c>
      <c r="J392" s="287">
        <f t="shared" si="107"/>
        <v>856943.1818181819</v>
      </c>
      <c r="K392" s="288">
        <v>5.6</v>
      </c>
      <c r="L392" s="289">
        <f t="shared" si="108"/>
        <v>280636.36363636365</v>
      </c>
      <c r="M392" s="288">
        <v>5</v>
      </c>
      <c r="N392" s="289">
        <f t="shared" si="109"/>
        <v>250568.18181818182</v>
      </c>
      <c r="O392" s="290">
        <v>115.5</v>
      </c>
      <c r="P392" s="291" t="s">
        <v>433</v>
      </c>
      <c r="Q392" s="288">
        <v>1.07</v>
      </c>
      <c r="R392" s="289">
        <f t="shared" si="110"/>
        <v>140763.315</v>
      </c>
      <c r="S392" s="292" t="s">
        <v>1600</v>
      </c>
      <c r="T392" s="296">
        <f>'Nhan cong'!M$38+'Nhan cong'!M$46</f>
        <v>296019.23076923075</v>
      </c>
      <c r="U392" s="250">
        <f t="shared" si="111"/>
        <v>1824930</v>
      </c>
      <c r="V392" s="250">
        <v>1867219</v>
      </c>
      <c r="W392" s="250">
        <v>1824930</v>
      </c>
      <c r="X392" s="250">
        <v>1762907</v>
      </c>
      <c r="Y392" s="293">
        <v>1102500</v>
      </c>
      <c r="Z392" s="294"/>
      <c r="AA392" s="251"/>
      <c r="AB392" s="251"/>
    </row>
    <row r="393" spans="1:28" s="295" customFormat="1" ht="15.75">
      <c r="A393" s="284">
        <v>329</v>
      </c>
      <c r="B393" s="284" t="s">
        <v>708</v>
      </c>
      <c r="C393" s="284" t="s">
        <v>1161</v>
      </c>
      <c r="D393" s="284" t="s">
        <v>3367</v>
      </c>
      <c r="E393" s="285" t="s">
        <v>1863</v>
      </c>
      <c r="F393" s="286" t="s">
        <v>1162</v>
      </c>
      <c r="G393" s="284">
        <v>220</v>
      </c>
      <c r="H393" s="284">
        <v>18</v>
      </c>
      <c r="I393" s="284">
        <v>0.95</v>
      </c>
      <c r="J393" s="287">
        <f t="shared" si="107"/>
        <v>1082663.1818181819</v>
      </c>
      <c r="K393" s="288">
        <v>5.6</v>
      </c>
      <c r="L393" s="289">
        <f t="shared" si="108"/>
        <v>354556.3636363636</v>
      </c>
      <c r="M393" s="288">
        <v>5</v>
      </c>
      <c r="N393" s="289">
        <f t="shared" si="109"/>
        <v>316568.1818181818</v>
      </c>
      <c r="O393" s="290">
        <v>171.6</v>
      </c>
      <c r="P393" s="291" t="s">
        <v>433</v>
      </c>
      <c r="Q393" s="288">
        <v>1.07</v>
      </c>
      <c r="R393" s="289">
        <f t="shared" si="110"/>
        <v>209134.068</v>
      </c>
      <c r="S393" s="292" t="s">
        <v>1163</v>
      </c>
      <c r="T393" s="296">
        <f>'Nhan cong'!M$38*2+'Nhan cong'!M$46</f>
        <v>421639.6153846154</v>
      </c>
      <c r="U393" s="250">
        <f>ROUND((J393+L393+N393+R393+T393),0)+1</f>
        <v>2384562</v>
      </c>
      <c r="V393" s="250">
        <v>2444796</v>
      </c>
      <c r="W393" s="250">
        <v>2384562</v>
      </c>
      <c r="X393" s="250">
        <v>2296218</v>
      </c>
      <c r="Y393" s="293">
        <v>1392900</v>
      </c>
      <c r="Z393" s="294"/>
      <c r="AA393" s="251"/>
      <c r="AB393" s="251"/>
    </row>
    <row r="394" spans="1:28" s="295" customFormat="1" ht="15.75">
      <c r="A394" s="284">
        <v>330</v>
      </c>
      <c r="B394" s="284" t="s">
        <v>709</v>
      </c>
      <c r="C394" s="284" t="s">
        <v>1164</v>
      </c>
      <c r="D394" s="284" t="s">
        <v>3368</v>
      </c>
      <c r="E394" s="285" t="s">
        <v>1864</v>
      </c>
      <c r="F394" s="286" t="s">
        <v>1165</v>
      </c>
      <c r="G394" s="284">
        <v>220</v>
      </c>
      <c r="H394" s="284">
        <v>18</v>
      </c>
      <c r="I394" s="284">
        <v>0.95</v>
      </c>
      <c r="J394" s="287">
        <f t="shared" si="107"/>
        <v>1728343.6363636362</v>
      </c>
      <c r="K394" s="288">
        <v>5.6</v>
      </c>
      <c r="L394" s="289">
        <f t="shared" si="108"/>
        <v>566007.2727272727</v>
      </c>
      <c r="M394" s="288">
        <v>5</v>
      </c>
      <c r="N394" s="289">
        <f t="shared" si="109"/>
        <v>505363.63636363635</v>
      </c>
      <c r="O394" s="290">
        <v>198</v>
      </c>
      <c r="P394" s="291" t="s">
        <v>433</v>
      </c>
      <c r="Q394" s="288">
        <v>1.07</v>
      </c>
      <c r="R394" s="289">
        <f t="shared" si="110"/>
        <v>241308.54</v>
      </c>
      <c r="S394" s="292" t="s">
        <v>1163</v>
      </c>
      <c r="T394" s="296">
        <f>'Nhan cong'!M$38*2+'Nhan cong'!M$46</f>
        <v>421639.6153846154</v>
      </c>
      <c r="U394" s="250">
        <f t="shared" si="111"/>
        <v>3462663</v>
      </c>
      <c r="V394" s="250">
        <v>3522897</v>
      </c>
      <c r="W394" s="250">
        <v>3462663</v>
      </c>
      <c r="X394" s="250">
        <v>3374319</v>
      </c>
      <c r="Y394" s="293">
        <v>2223600</v>
      </c>
      <c r="Z394" s="294"/>
      <c r="AA394" s="251"/>
      <c r="AB394" s="251"/>
    </row>
    <row r="395" spans="1:28" s="295" customFormat="1" ht="15.75">
      <c r="A395" s="284">
        <v>331</v>
      </c>
      <c r="B395" s="284" t="s">
        <v>710</v>
      </c>
      <c r="C395" s="284" t="s">
        <v>1166</v>
      </c>
      <c r="D395" s="284" t="s">
        <v>3369</v>
      </c>
      <c r="E395" s="285" t="s">
        <v>1865</v>
      </c>
      <c r="F395" s="286" t="s">
        <v>1167</v>
      </c>
      <c r="G395" s="284">
        <v>220</v>
      </c>
      <c r="H395" s="284">
        <v>17</v>
      </c>
      <c r="I395" s="284">
        <v>0.95</v>
      </c>
      <c r="J395" s="287">
        <f t="shared" si="107"/>
        <v>1795659.772727273</v>
      </c>
      <c r="K395" s="288">
        <v>5.25</v>
      </c>
      <c r="L395" s="289">
        <f t="shared" si="108"/>
        <v>583728.4090909091</v>
      </c>
      <c r="M395" s="288">
        <v>5</v>
      </c>
      <c r="N395" s="289">
        <f t="shared" si="109"/>
        <v>555931.8181818181</v>
      </c>
      <c r="O395" s="290">
        <v>265.2</v>
      </c>
      <c r="P395" s="291" t="s">
        <v>433</v>
      </c>
      <c r="Q395" s="288">
        <v>1.07</v>
      </c>
      <c r="R395" s="289">
        <f t="shared" si="110"/>
        <v>323207.196</v>
      </c>
      <c r="S395" s="292" t="s">
        <v>1163</v>
      </c>
      <c r="T395" s="296">
        <f>'Nhan cong'!M$38*2+'Nhan cong'!M$46</f>
        <v>421639.6153846154</v>
      </c>
      <c r="U395" s="250">
        <f>ROUND((J395+L395+N395+R395+T395),0)+1</f>
        <v>3680168</v>
      </c>
      <c r="V395" s="250">
        <v>3740401</v>
      </c>
      <c r="W395" s="250">
        <v>3680168</v>
      </c>
      <c r="X395" s="250">
        <v>3591823</v>
      </c>
      <c r="Y395" s="293">
        <v>2446100</v>
      </c>
      <c r="Z395" s="294">
        <v>1</v>
      </c>
      <c r="AA395" s="251"/>
      <c r="AB395" s="251"/>
    </row>
    <row r="396" spans="1:28" s="295" customFormat="1" ht="15.75">
      <c r="A396" s="284">
        <v>332</v>
      </c>
      <c r="B396" s="284">
        <v>0</v>
      </c>
      <c r="C396" s="284" t="s">
        <v>1168</v>
      </c>
      <c r="D396" s="284" t="s">
        <v>3370</v>
      </c>
      <c r="E396" s="285" t="s">
        <v>1866</v>
      </c>
      <c r="F396" s="286" t="s">
        <v>1169</v>
      </c>
      <c r="G396" s="284">
        <v>220</v>
      </c>
      <c r="H396" s="284">
        <v>17</v>
      </c>
      <c r="I396" s="284">
        <v>0.95</v>
      </c>
      <c r="J396" s="287">
        <f t="shared" si="107"/>
        <v>2072852.5000000005</v>
      </c>
      <c r="K396" s="288">
        <v>5.25</v>
      </c>
      <c r="L396" s="289">
        <f t="shared" si="108"/>
        <v>673837.5</v>
      </c>
      <c r="M396" s="288">
        <v>5</v>
      </c>
      <c r="N396" s="289">
        <f t="shared" si="109"/>
        <v>641750</v>
      </c>
      <c r="O396" s="290">
        <v>417.6</v>
      </c>
      <c r="P396" s="291" t="s">
        <v>433</v>
      </c>
      <c r="Q396" s="288">
        <v>1.07</v>
      </c>
      <c r="R396" s="289">
        <f t="shared" si="110"/>
        <v>508941.64800000004</v>
      </c>
      <c r="S396" s="292" t="s">
        <v>1170</v>
      </c>
      <c r="T396" s="296">
        <f>'Nhan cong'!M$38*2+'Nhan cong'!M$42+'Nhan cong'!M$49</f>
        <v>595600.3846153846</v>
      </c>
      <c r="U396" s="250">
        <f t="shared" si="111"/>
        <v>4492982</v>
      </c>
      <c r="V396" s="250">
        <v>4578068</v>
      </c>
      <c r="W396" s="250">
        <v>4492982</v>
      </c>
      <c r="X396" s="250">
        <v>4368190</v>
      </c>
      <c r="Y396" s="293">
        <v>2823700</v>
      </c>
      <c r="Z396" s="294"/>
      <c r="AA396" s="251"/>
      <c r="AB396" s="251"/>
    </row>
    <row r="397" spans="1:28" s="295" customFormat="1" ht="15.75">
      <c r="A397" s="284">
        <v>333</v>
      </c>
      <c r="B397" s="284" t="s">
        <v>703</v>
      </c>
      <c r="C397" s="284" t="s">
        <v>1171</v>
      </c>
      <c r="D397" s="284" t="s">
        <v>3371</v>
      </c>
      <c r="E397" s="285" t="s">
        <v>1867</v>
      </c>
      <c r="F397" s="286" t="s">
        <v>1172</v>
      </c>
      <c r="G397" s="284">
        <v>220</v>
      </c>
      <c r="H397" s="284">
        <v>17</v>
      </c>
      <c r="I397" s="284">
        <v>0.95</v>
      </c>
      <c r="J397" s="287">
        <f t="shared" si="107"/>
        <v>3441638.4090909087</v>
      </c>
      <c r="K397" s="288">
        <v>5.25</v>
      </c>
      <c r="L397" s="289">
        <f t="shared" si="108"/>
        <v>1118798.8636363638</v>
      </c>
      <c r="M397" s="288">
        <v>5</v>
      </c>
      <c r="N397" s="289">
        <f t="shared" si="109"/>
        <v>1065522.7272727273</v>
      </c>
      <c r="O397" s="290">
        <v>445.5</v>
      </c>
      <c r="P397" s="291" t="s">
        <v>433</v>
      </c>
      <c r="Q397" s="288">
        <v>1.07</v>
      </c>
      <c r="R397" s="289">
        <f t="shared" si="110"/>
        <v>542944.2150000001</v>
      </c>
      <c r="S397" s="292" t="s">
        <v>1170</v>
      </c>
      <c r="T397" s="296">
        <f>'Nhan cong'!M$38*2+'Nhan cong'!M$42+'Nhan cong'!M$49</f>
        <v>595600.3846153846</v>
      </c>
      <c r="U397" s="250">
        <f t="shared" si="111"/>
        <v>6764505</v>
      </c>
      <c r="V397" s="250">
        <v>6849590</v>
      </c>
      <c r="W397" s="250">
        <v>6764505</v>
      </c>
      <c r="X397" s="250">
        <v>6639712</v>
      </c>
      <c r="Y397" s="293">
        <v>4688300</v>
      </c>
      <c r="Z397" s="294"/>
      <c r="AA397" s="251"/>
      <c r="AB397" s="251"/>
    </row>
    <row r="398" spans="1:28" s="295" customFormat="1" ht="15.75">
      <c r="A398" s="284">
        <v>334</v>
      </c>
      <c r="B398" s="284" t="s">
        <v>704</v>
      </c>
      <c r="C398" s="284" t="s">
        <v>1173</v>
      </c>
      <c r="D398" s="284" t="s">
        <v>3372</v>
      </c>
      <c r="E398" s="285" t="s">
        <v>71</v>
      </c>
      <c r="F398" s="286" t="s">
        <v>1174</v>
      </c>
      <c r="G398" s="284">
        <v>220</v>
      </c>
      <c r="H398" s="284">
        <v>17</v>
      </c>
      <c r="I398" s="284">
        <v>0.95</v>
      </c>
      <c r="J398" s="287">
        <f t="shared" si="107"/>
        <v>3613709.318181819</v>
      </c>
      <c r="K398" s="301">
        <v>5</v>
      </c>
      <c r="L398" s="289">
        <f t="shared" si="108"/>
        <v>1118795.4545454546</v>
      </c>
      <c r="M398" s="301">
        <v>5</v>
      </c>
      <c r="N398" s="289">
        <f t="shared" si="109"/>
        <v>1118795.4545454546</v>
      </c>
      <c r="O398" s="302">
        <v>553.1</v>
      </c>
      <c r="P398" s="272" t="s">
        <v>433</v>
      </c>
      <c r="Q398" s="288">
        <v>1.07</v>
      </c>
      <c r="R398" s="289">
        <f t="shared" si="110"/>
        <v>674079.5630000001</v>
      </c>
      <c r="S398" s="284" t="s">
        <v>1175</v>
      </c>
      <c r="T398" s="296">
        <f>3*Nii3+Nii4+Nii6</f>
        <v>721220.7692307692</v>
      </c>
      <c r="U398" s="250">
        <f>ROUND((J398+L398+N398+R398+T398),0)-1</f>
        <v>7246600</v>
      </c>
      <c r="V398" s="250">
        <v>7349632</v>
      </c>
      <c r="W398" s="250">
        <v>7246600</v>
      </c>
      <c r="X398" s="250">
        <v>7095488</v>
      </c>
      <c r="Y398" s="293">
        <v>4922700</v>
      </c>
      <c r="Z398" s="294">
        <v>-1</v>
      </c>
      <c r="AA398" s="251"/>
      <c r="AB398" s="251"/>
    </row>
    <row r="399" spans="1:28" s="295" customFormat="1" ht="15.75">
      <c r="A399" s="297"/>
      <c r="B399" s="284"/>
      <c r="D399" s="308"/>
      <c r="E399" s="272"/>
      <c r="F399" s="151" t="s">
        <v>1176</v>
      </c>
      <c r="G399" s="284"/>
      <c r="H399" s="284"/>
      <c r="I399" s="284"/>
      <c r="J399" s="299"/>
      <c r="K399" s="288"/>
      <c r="L399" s="289"/>
      <c r="M399" s="288"/>
      <c r="N399" s="300"/>
      <c r="O399" s="290"/>
      <c r="P399" s="291"/>
      <c r="Q399" s="288"/>
      <c r="R399" s="300"/>
      <c r="S399" s="292"/>
      <c r="T399" s="296"/>
      <c r="U399" s="250"/>
      <c r="V399" s="250"/>
      <c r="W399" s="250"/>
      <c r="X399" s="250"/>
      <c r="Y399" s="293"/>
      <c r="Z399" s="385"/>
      <c r="AA399" s="251"/>
      <c r="AB399" s="251"/>
    </row>
    <row r="400" spans="1:28" s="295" customFormat="1" ht="15.75">
      <c r="A400" s="284">
        <v>335</v>
      </c>
      <c r="B400" s="284">
        <v>0</v>
      </c>
      <c r="C400" s="284" t="s">
        <v>1177</v>
      </c>
      <c r="D400" s="284" t="s">
        <v>3373</v>
      </c>
      <c r="E400" s="285" t="s">
        <v>67</v>
      </c>
      <c r="F400" s="286" t="s">
        <v>1178</v>
      </c>
      <c r="G400" s="284">
        <v>110</v>
      </c>
      <c r="H400" s="284">
        <v>20</v>
      </c>
      <c r="I400" s="284">
        <v>0.95</v>
      </c>
      <c r="J400" s="287">
        <f>Y400*H400%*I400/G400*1000</f>
        <v>96209.0909090909</v>
      </c>
      <c r="K400" s="288">
        <v>6.6</v>
      </c>
      <c r="L400" s="289">
        <f>(Y400*K400%)/G400*1000</f>
        <v>33420</v>
      </c>
      <c r="M400" s="288">
        <v>5</v>
      </c>
      <c r="N400" s="289">
        <f>(Y400*M400%)/G400*1000</f>
        <v>25318.181818181816</v>
      </c>
      <c r="O400" s="290">
        <v>12</v>
      </c>
      <c r="P400" s="291" t="s">
        <v>433</v>
      </c>
      <c r="Q400" s="288">
        <v>1.07</v>
      </c>
      <c r="R400" s="289">
        <f>O400*dien*Q400</f>
        <v>14624.76</v>
      </c>
      <c r="S400" s="292" t="s">
        <v>1591</v>
      </c>
      <c r="T400" s="289">
        <f>'Nhan cong'!$M$42</f>
        <v>145974.23076923078</v>
      </c>
      <c r="U400" s="250">
        <f>ROUND((J400+L400+N400+R400+T400),0)</f>
        <v>315546</v>
      </c>
      <c r="V400" s="250">
        <v>336400</v>
      </c>
      <c r="W400" s="250">
        <v>315546</v>
      </c>
      <c r="X400" s="250">
        <v>284961</v>
      </c>
      <c r="Y400" s="293">
        <v>55700</v>
      </c>
      <c r="Z400" s="294"/>
      <c r="AA400" s="251"/>
      <c r="AB400" s="251"/>
    </row>
    <row r="401" spans="1:28" s="295" customFormat="1" ht="15.75">
      <c r="A401" s="284">
        <v>336</v>
      </c>
      <c r="B401" s="284">
        <v>0</v>
      </c>
      <c r="C401" s="284" t="s">
        <v>1179</v>
      </c>
      <c r="D401" s="284" t="s">
        <v>3374</v>
      </c>
      <c r="E401" s="285" t="s">
        <v>68</v>
      </c>
      <c r="F401" s="286" t="s">
        <v>1180</v>
      </c>
      <c r="G401" s="284">
        <v>110</v>
      </c>
      <c r="H401" s="284">
        <v>20</v>
      </c>
      <c r="I401" s="284">
        <v>0.95</v>
      </c>
      <c r="J401" s="287">
        <f>Y401*H401%*I401/G401*1000</f>
        <v>120909.09090909091</v>
      </c>
      <c r="K401" s="288">
        <v>6.6</v>
      </c>
      <c r="L401" s="289">
        <f>(Y401*K401%)/G401*1000</f>
        <v>42000</v>
      </c>
      <c r="M401" s="288">
        <v>5</v>
      </c>
      <c r="N401" s="289">
        <f>(Y401*M401%)/G401*1000</f>
        <v>31818.181818181816</v>
      </c>
      <c r="O401" s="290">
        <v>16.8</v>
      </c>
      <c r="P401" s="291" t="s">
        <v>433</v>
      </c>
      <c r="Q401" s="288">
        <v>1.07</v>
      </c>
      <c r="R401" s="289">
        <f>O401*dien*Q401</f>
        <v>20474.664</v>
      </c>
      <c r="S401" s="292" t="s">
        <v>1591</v>
      </c>
      <c r="T401" s="289">
        <f>'Nhan cong'!$M$42</f>
        <v>145974.23076923078</v>
      </c>
      <c r="U401" s="250">
        <f>ROUND((J401+L401+N401+R401+T401),0)</f>
        <v>361176</v>
      </c>
      <c r="V401" s="250">
        <v>382030</v>
      </c>
      <c r="W401" s="250">
        <v>361176</v>
      </c>
      <c r="X401" s="250">
        <v>330591</v>
      </c>
      <c r="Y401" s="293">
        <v>70000</v>
      </c>
      <c r="Z401" s="294"/>
      <c r="AA401" s="251"/>
      <c r="AB401" s="251"/>
    </row>
    <row r="402" spans="1:28" s="295" customFormat="1" ht="15.75">
      <c r="A402" s="284">
        <v>337</v>
      </c>
      <c r="B402" s="284">
        <v>0</v>
      </c>
      <c r="C402" s="284" t="s">
        <v>1181</v>
      </c>
      <c r="D402" s="284" t="s">
        <v>3375</v>
      </c>
      <c r="E402" s="285" t="s">
        <v>69</v>
      </c>
      <c r="F402" s="286" t="s">
        <v>1182</v>
      </c>
      <c r="G402" s="284">
        <v>110</v>
      </c>
      <c r="H402" s="284">
        <v>20</v>
      </c>
      <c r="I402" s="284">
        <v>0.95</v>
      </c>
      <c r="J402" s="287">
        <f>Y402*H402%*I402/G402*1000</f>
        <v>155800</v>
      </c>
      <c r="K402" s="288">
        <v>6.6</v>
      </c>
      <c r="L402" s="289">
        <f>(Y402*K402%)/G402*1000</f>
        <v>54120.00000000001</v>
      </c>
      <c r="M402" s="288">
        <v>5</v>
      </c>
      <c r="N402" s="289">
        <f>(Y402*M402%)/G402*1000</f>
        <v>41000</v>
      </c>
      <c r="O402" s="290">
        <v>18.9</v>
      </c>
      <c r="P402" s="291" t="s">
        <v>433</v>
      </c>
      <c r="Q402" s="288">
        <v>1.07</v>
      </c>
      <c r="R402" s="289">
        <f>O402*dien*Q402</f>
        <v>23033.997</v>
      </c>
      <c r="S402" s="292" t="s">
        <v>1183</v>
      </c>
      <c r="T402" s="296">
        <f>'Nhan cong'!M$38+'Nhan cong'!M$42</f>
        <v>271594.6153846154</v>
      </c>
      <c r="U402" s="250">
        <f>ROUND((J402+L402+N402+R402+T402),0)</f>
        <v>545549</v>
      </c>
      <c r="V402" s="250">
        <v>584348</v>
      </c>
      <c r="W402" s="250">
        <v>545549</v>
      </c>
      <c r="X402" s="250">
        <v>488643</v>
      </c>
      <c r="Y402" s="293">
        <v>90200</v>
      </c>
      <c r="Z402" s="294"/>
      <c r="AA402" s="251"/>
      <c r="AB402" s="251"/>
    </row>
    <row r="403" spans="1:28" s="295" customFormat="1" ht="15.75">
      <c r="A403" s="284">
        <v>338</v>
      </c>
      <c r="B403" s="284" t="s">
        <v>3828</v>
      </c>
      <c r="C403" s="284" t="s">
        <v>1184</v>
      </c>
      <c r="D403" s="284" t="s">
        <v>3376</v>
      </c>
      <c r="E403" s="285" t="s">
        <v>70</v>
      </c>
      <c r="F403" s="286" t="s">
        <v>1185</v>
      </c>
      <c r="G403" s="284">
        <v>110</v>
      </c>
      <c r="H403" s="284">
        <v>20</v>
      </c>
      <c r="I403" s="284">
        <v>0.95</v>
      </c>
      <c r="J403" s="287">
        <f>Y403*H403%*I403/G403*1000</f>
        <v>195700</v>
      </c>
      <c r="K403" s="288">
        <v>6.6</v>
      </c>
      <c r="L403" s="289">
        <f>(Y403*K403%)/G403*1000</f>
        <v>67980</v>
      </c>
      <c r="M403" s="288">
        <v>5</v>
      </c>
      <c r="N403" s="289">
        <f>(Y403*M403%)/G403*1000</f>
        <v>51500</v>
      </c>
      <c r="O403" s="290">
        <v>33.6</v>
      </c>
      <c r="P403" s="291" t="s">
        <v>433</v>
      </c>
      <c r="Q403" s="288">
        <v>1.07</v>
      </c>
      <c r="R403" s="289">
        <f>O403*dien*Q403</f>
        <v>40949.328</v>
      </c>
      <c r="S403" s="292" t="s">
        <v>1183</v>
      </c>
      <c r="T403" s="296">
        <f>'Nhan cong'!M$38+'Nhan cong'!M$42</f>
        <v>271594.6153846154</v>
      </c>
      <c r="U403" s="250">
        <f>ROUND((J403+L403+N403+R403+T403),0)</f>
        <v>627724</v>
      </c>
      <c r="V403" s="250">
        <v>666523</v>
      </c>
      <c r="W403" s="250">
        <v>627724</v>
      </c>
      <c r="X403" s="250">
        <v>570818</v>
      </c>
      <c r="Y403" s="293">
        <v>113300</v>
      </c>
      <c r="Z403" s="294"/>
      <c r="AA403" s="251"/>
      <c r="AB403" s="251"/>
    </row>
    <row r="404" spans="1:28" s="295" customFormat="1" ht="15.75">
      <c r="A404" s="284">
        <v>339</v>
      </c>
      <c r="B404" s="284" t="s">
        <v>3827</v>
      </c>
      <c r="C404" s="284" t="s">
        <v>1186</v>
      </c>
      <c r="D404" s="284" t="s">
        <v>3377</v>
      </c>
      <c r="E404" s="285" t="s">
        <v>1868</v>
      </c>
      <c r="F404" s="286" t="s">
        <v>1187</v>
      </c>
      <c r="G404" s="284">
        <v>110</v>
      </c>
      <c r="H404" s="284">
        <v>20</v>
      </c>
      <c r="I404" s="284">
        <v>0.95</v>
      </c>
      <c r="J404" s="287">
        <f>Y404*H404%*I404/G404*1000</f>
        <v>257363.63636363638</v>
      </c>
      <c r="K404" s="288">
        <v>6.1</v>
      </c>
      <c r="L404" s="289">
        <f>(Y404*K404%)/G404*1000</f>
        <v>82627.27272727272</v>
      </c>
      <c r="M404" s="288">
        <v>5</v>
      </c>
      <c r="N404" s="289">
        <f>(Y404*M404%)/G404*1000</f>
        <v>67727.27272727274</v>
      </c>
      <c r="O404" s="290">
        <v>72</v>
      </c>
      <c r="P404" s="291" t="s">
        <v>433</v>
      </c>
      <c r="Q404" s="288">
        <v>1.07</v>
      </c>
      <c r="R404" s="289">
        <f>O404*dien*Q404</f>
        <v>87748.56000000001</v>
      </c>
      <c r="S404" s="292" t="s">
        <v>1183</v>
      </c>
      <c r="T404" s="296">
        <f>'Nhan cong'!M$38+'Nhan cong'!M$42</f>
        <v>271594.6153846154</v>
      </c>
      <c r="U404" s="250">
        <f>ROUND((J404+L404+N404+R404+T404),0)+1</f>
        <v>767062</v>
      </c>
      <c r="V404" s="250">
        <v>805861</v>
      </c>
      <c r="W404" s="250">
        <v>767062</v>
      </c>
      <c r="X404" s="250">
        <v>710156</v>
      </c>
      <c r="Y404" s="293">
        <v>149000</v>
      </c>
      <c r="Z404" s="294">
        <v>1</v>
      </c>
      <c r="AA404" s="251"/>
      <c r="AB404" s="251"/>
    </row>
    <row r="405" spans="1:28" s="295" customFormat="1" ht="15.75">
      <c r="A405" s="297"/>
      <c r="B405" s="284"/>
      <c r="D405" s="308"/>
      <c r="E405" s="272"/>
      <c r="F405" s="151" t="s">
        <v>1188</v>
      </c>
      <c r="G405" s="284"/>
      <c r="H405" s="284"/>
      <c r="I405" s="284"/>
      <c r="J405" s="299"/>
      <c r="K405" s="288"/>
      <c r="L405" s="289"/>
      <c r="M405" s="288"/>
      <c r="N405" s="300"/>
      <c r="O405" s="290"/>
      <c r="P405" s="291"/>
      <c r="Q405" s="288"/>
      <c r="R405" s="300"/>
      <c r="S405" s="292"/>
      <c r="T405" s="296"/>
      <c r="U405" s="250"/>
      <c r="V405" s="250"/>
      <c r="W405" s="250"/>
      <c r="X405" s="250"/>
      <c r="Y405" s="293"/>
      <c r="Z405" s="385"/>
      <c r="AA405" s="251"/>
      <c r="AB405" s="251"/>
    </row>
    <row r="406" spans="1:28" s="295" customFormat="1" ht="31.5">
      <c r="A406" s="284">
        <v>340</v>
      </c>
      <c r="B406" s="284" t="s">
        <v>715</v>
      </c>
      <c r="C406" s="284" t="s">
        <v>1189</v>
      </c>
      <c r="D406" s="284" t="s">
        <v>3378</v>
      </c>
      <c r="E406" s="285" t="s">
        <v>1869</v>
      </c>
      <c r="F406" s="286" t="s">
        <v>1190</v>
      </c>
      <c r="G406" s="284">
        <v>200</v>
      </c>
      <c r="H406" s="284">
        <v>14</v>
      </c>
      <c r="I406" s="284">
        <v>0.95</v>
      </c>
      <c r="J406" s="287">
        <f>Y406*H406%*I406/G406*1000</f>
        <v>1455153.0000000002</v>
      </c>
      <c r="K406" s="288">
        <v>5.42</v>
      </c>
      <c r="L406" s="289">
        <f>(Y406*K406%)/G406*1000</f>
        <v>593002.2000000001</v>
      </c>
      <c r="M406" s="288">
        <v>6</v>
      </c>
      <c r="N406" s="289">
        <f>(Y406*M406%)/G406*1000</f>
        <v>656460</v>
      </c>
      <c r="O406" s="290">
        <v>52.8</v>
      </c>
      <c r="P406" s="291" t="s">
        <v>1590</v>
      </c>
      <c r="Q406" s="288">
        <v>1.05</v>
      </c>
      <c r="R406" s="289">
        <f>O406*diezel*Q406</f>
        <v>1063440.1008</v>
      </c>
      <c r="S406" s="292" t="s">
        <v>1191</v>
      </c>
      <c r="T406" s="296">
        <f>'Nhan cong'!M97+'Nhan cong'!M99</f>
        <v>336726.92307692306</v>
      </c>
      <c r="U406" s="250">
        <f>ROUND((J406+L406+N406+R406+T406),0)</f>
        <v>4104782</v>
      </c>
      <c r="V406" s="250">
        <v>4152886</v>
      </c>
      <c r="W406" s="250">
        <v>4104782</v>
      </c>
      <c r="X406" s="250">
        <v>4034230</v>
      </c>
      <c r="Y406" s="293">
        <v>2188200</v>
      </c>
      <c r="Z406" s="294"/>
      <c r="AA406" s="251"/>
      <c r="AB406" s="251"/>
    </row>
    <row r="407" spans="1:28" s="295" customFormat="1" ht="31.5">
      <c r="A407" s="284">
        <v>341</v>
      </c>
      <c r="B407" s="284">
        <v>0</v>
      </c>
      <c r="C407" s="284" t="s">
        <v>1192</v>
      </c>
      <c r="D407" s="284" t="s">
        <v>3379</v>
      </c>
      <c r="E407" s="285" t="s">
        <v>1870</v>
      </c>
      <c r="F407" s="286" t="s">
        <v>1193</v>
      </c>
      <c r="G407" s="284">
        <v>200</v>
      </c>
      <c r="H407" s="284">
        <v>14</v>
      </c>
      <c r="I407" s="284">
        <v>0.95</v>
      </c>
      <c r="J407" s="287">
        <f>Y407*H407%*I407/G407*1000</f>
        <v>1629715.5000000002</v>
      </c>
      <c r="K407" s="288">
        <v>5</v>
      </c>
      <c r="L407" s="289">
        <f>(Y407*K407%)/G407*1000</f>
        <v>612675</v>
      </c>
      <c r="M407" s="288">
        <v>6</v>
      </c>
      <c r="N407" s="289">
        <f>(Y407*M407%)/G407*1000</f>
        <v>735210</v>
      </c>
      <c r="O407" s="290">
        <v>60</v>
      </c>
      <c r="P407" s="291" t="s">
        <v>1590</v>
      </c>
      <c r="Q407" s="288">
        <v>1.05</v>
      </c>
      <c r="R407" s="289">
        <f>O407*diezel*Q407</f>
        <v>1208454.66</v>
      </c>
      <c r="S407" s="292" t="s">
        <v>1191</v>
      </c>
      <c r="T407" s="296">
        <f>'Nhan cong'!M97+'Nhan cong'!M99</f>
        <v>336726.92307692306</v>
      </c>
      <c r="U407" s="250">
        <f>ROUND((J407+L407+N407+R407+T407),0)</f>
        <v>4522782</v>
      </c>
      <c r="V407" s="250">
        <v>4570886</v>
      </c>
      <c r="W407" s="250">
        <v>4522782</v>
      </c>
      <c r="X407" s="250">
        <v>4452230</v>
      </c>
      <c r="Y407" s="293">
        <v>2450700</v>
      </c>
      <c r="Z407" s="294"/>
      <c r="AA407" s="251"/>
      <c r="AB407" s="251"/>
    </row>
    <row r="408" spans="1:28" s="295" customFormat="1" ht="31.5">
      <c r="A408" s="297"/>
      <c r="B408" s="284"/>
      <c r="C408" s="298"/>
      <c r="D408" s="284"/>
      <c r="E408" s="272"/>
      <c r="F408" s="241" t="s">
        <v>1194</v>
      </c>
      <c r="G408" s="284"/>
      <c r="H408" s="284"/>
      <c r="I408" s="284"/>
      <c r="J408" s="299"/>
      <c r="K408" s="288"/>
      <c r="L408" s="289"/>
      <c r="M408" s="288"/>
      <c r="N408" s="300"/>
      <c r="O408" s="290"/>
      <c r="P408" s="291"/>
      <c r="Q408" s="288"/>
      <c r="R408" s="300"/>
      <c r="S408" s="292"/>
      <c r="T408" s="296"/>
      <c r="U408" s="250"/>
      <c r="V408" s="250"/>
      <c r="W408" s="250"/>
      <c r="X408" s="250"/>
      <c r="Y408" s="293"/>
      <c r="Z408" s="385"/>
      <c r="AA408" s="251"/>
      <c r="AB408" s="251"/>
    </row>
    <row r="409" spans="1:28" s="295" customFormat="1" ht="15.75">
      <c r="A409" s="284">
        <v>342</v>
      </c>
      <c r="B409" s="284" t="s">
        <v>3821</v>
      </c>
      <c r="C409" s="284" t="s">
        <v>1195</v>
      </c>
      <c r="D409" s="284" t="s">
        <v>3380</v>
      </c>
      <c r="E409" s="309" t="s">
        <v>72</v>
      </c>
      <c r="F409" s="286" t="s">
        <v>1196</v>
      </c>
      <c r="G409" s="284">
        <v>200</v>
      </c>
      <c r="H409" s="284">
        <v>14</v>
      </c>
      <c r="I409" s="284">
        <v>0.95</v>
      </c>
      <c r="J409" s="287">
        <f>Y409*H409%*I409/G409*1000</f>
        <v>722190</v>
      </c>
      <c r="K409" s="288">
        <v>6.5</v>
      </c>
      <c r="L409" s="289">
        <f>(Y409*K409%)/G409*1000</f>
        <v>352950</v>
      </c>
      <c r="M409" s="288">
        <v>5</v>
      </c>
      <c r="N409" s="289">
        <f>(Y409*M409%)/G409*1000</f>
        <v>271500</v>
      </c>
      <c r="O409" s="290">
        <v>181.5</v>
      </c>
      <c r="P409" s="291" t="s">
        <v>433</v>
      </c>
      <c r="Q409" s="288">
        <v>1.07</v>
      </c>
      <c r="R409" s="289">
        <f>O409*dien*Q409</f>
        <v>221199.49500000002</v>
      </c>
      <c r="S409" s="292" t="s">
        <v>1600</v>
      </c>
      <c r="T409" s="296">
        <f>Nii3+Nii5</f>
        <v>296019.23076923075</v>
      </c>
      <c r="U409" s="250">
        <f>ROUND((J409+L409+N409+R409+T409),0)-1</f>
        <v>1863858</v>
      </c>
      <c r="V409" s="250">
        <v>1906147</v>
      </c>
      <c r="W409" s="250">
        <v>1863858</v>
      </c>
      <c r="X409" s="250">
        <v>1801805</v>
      </c>
      <c r="Y409" s="293">
        <v>1086000</v>
      </c>
      <c r="Z409" s="294">
        <v>-1</v>
      </c>
      <c r="AA409" s="251">
        <v>1801805</v>
      </c>
      <c r="AB409" s="251"/>
    </row>
    <row r="410" spans="1:28" s="295" customFormat="1" ht="15.75">
      <c r="A410" s="284">
        <v>343</v>
      </c>
      <c r="B410" s="284">
        <v>0</v>
      </c>
      <c r="C410" s="284" t="s">
        <v>1197</v>
      </c>
      <c r="D410" s="284" t="s">
        <v>3381</v>
      </c>
      <c r="E410" s="309" t="s">
        <v>1871</v>
      </c>
      <c r="F410" s="286" t="s">
        <v>1198</v>
      </c>
      <c r="G410" s="284">
        <v>200</v>
      </c>
      <c r="H410" s="284">
        <v>14</v>
      </c>
      <c r="I410" s="284">
        <v>0.95</v>
      </c>
      <c r="J410" s="287">
        <f>Y410*H410%*I410/G410*1000</f>
        <v>992911.5</v>
      </c>
      <c r="K410" s="288">
        <v>6.5</v>
      </c>
      <c r="L410" s="289">
        <f>(Y410*K410%)/G410*1000</f>
        <v>485257.5</v>
      </c>
      <c r="M410" s="288">
        <v>5</v>
      </c>
      <c r="N410" s="289">
        <f>(Y410*M410%)/G410*1000</f>
        <v>373275</v>
      </c>
      <c r="O410" s="290">
        <v>247.5</v>
      </c>
      <c r="P410" s="291" t="s">
        <v>433</v>
      </c>
      <c r="Q410" s="288">
        <v>1.07</v>
      </c>
      <c r="R410" s="289">
        <f>O410*dien*Q410</f>
        <v>301635.67500000005</v>
      </c>
      <c r="S410" s="292" t="s">
        <v>230</v>
      </c>
      <c r="T410" s="296">
        <f>Nii4+Nii5</f>
        <v>316373.07692307694</v>
      </c>
      <c r="U410" s="250">
        <f>ROUND((J410+L410+N410+R410+T410),0)</f>
        <v>2469453</v>
      </c>
      <c r="V410" s="250">
        <v>2514649</v>
      </c>
      <c r="W410" s="250">
        <v>2469453</v>
      </c>
      <c r="X410" s="250">
        <v>2403165</v>
      </c>
      <c r="Y410" s="293">
        <v>1493100</v>
      </c>
      <c r="Z410" s="294"/>
      <c r="AA410" s="251"/>
      <c r="AB410" s="251"/>
    </row>
    <row r="411" spans="1:28" s="295" customFormat="1" ht="15.75">
      <c r="A411" s="297"/>
      <c r="B411" s="284"/>
      <c r="C411" s="298"/>
      <c r="D411" s="271"/>
      <c r="F411" s="151" t="s">
        <v>1199</v>
      </c>
      <c r="G411" s="284"/>
      <c r="H411" s="284"/>
      <c r="I411" s="284"/>
      <c r="J411" s="299"/>
      <c r="K411" s="288"/>
      <c r="L411" s="289"/>
      <c r="M411" s="288"/>
      <c r="N411" s="300"/>
      <c r="O411" s="290"/>
      <c r="P411" s="291"/>
      <c r="Q411" s="288"/>
      <c r="R411" s="300"/>
      <c r="S411" s="292"/>
      <c r="T411" s="296"/>
      <c r="U411" s="250"/>
      <c r="V411" s="250"/>
      <c r="W411" s="250"/>
      <c r="X411" s="250"/>
      <c r="Y411" s="293"/>
      <c r="Z411" s="385"/>
      <c r="AA411" s="251"/>
      <c r="AB411" s="251"/>
    </row>
    <row r="412" spans="1:28" s="295" customFormat="1" ht="15.75">
      <c r="A412" s="284">
        <v>344</v>
      </c>
      <c r="B412" s="284">
        <v>0</v>
      </c>
      <c r="C412" s="284" t="s">
        <v>1200</v>
      </c>
      <c r="D412" s="284" t="s">
        <v>3382</v>
      </c>
      <c r="E412" s="285" t="s">
        <v>1872</v>
      </c>
      <c r="F412" s="286" t="s">
        <v>1201</v>
      </c>
      <c r="G412" s="284">
        <v>180</v>
      </c>
      <c r="H412" s="284">
        <v>14</v>
      </c>
      <c r="I412" s="284">
        <v>0.95</v>
      </c>
      <c r="J412" s="287">
        <f>Y412*H412%*I412/G412*1000</f>
        <v>1117791.1111111112</v>
      </c>
      <c r="K412" s="288">
        <v>4.92</v>
      </c>
      <c r="L412" s="289">
        <f>(Y412*K412%)/G412*1000</f>
        <v>413498.6666666666</v>
      </c>
      <c r="M412" s="288">
        <v>6</v>
      </c>
      <c r="N412" s="289">
        <f>(Y412*M412%)/G412*1000</f>
        <v>504266.6666666666</v>
      </c>
      <c r="O412" s="290">
        <v>54</v>
      </c>
      <c r="P412" s="291" t="s">
        <v>433</v>
      </c>
      <c r="Q412" s="288">
        <v>1.07</v>
      </c>
      <c r="R412" s="289">
        <f>O412*dien*Q412</f>
        <v>65811.42</v>
      </c>
      <c r="S412" s="292" t="s">
        <v>1170</v>
      </c>
      <c r="T412" s="296">
        <f>'Nhan cong'!M$38*2+'Nhan cong'!M$42+'Nhan cong'!M$49</f>
        <v>595600.3846153846</v>
      </c>
      <c r="U412" s="250">
        <f>ROUND((J412+L412+N412+R412+T412),0)</f>
        <v>2696968</v>
      </c>
      <c r="V412" s="250">
        <v>2782054</v>
      </c>
      <c r="W412" s="250">
        <v>2696968</v>
      </c>
      <c r="X412" s="250">
        <v>2572176</v>
      </c>
      <c r="Y412" s="293">
        <v>1512800</v>
      </c>
      <c r="Z412" s="294"/>
      <c r="AA412" s="251"/>
      <c r="AB412" s="251"/>
    </row>
    <row r="413" spans="1:28" s="295" customFormat="1" ht="31.5">
      <c r="A413" s="284">
        <v>345</v>
      </c>
      <c r="B413" s="284">
        <v>0</v>
      </c>
      <c r="C413" s="284" t="s">
        <v>1202</v>
      </c>
      <c r="D413" s="284" t="s">
        <v>3383</v>
      </c>
      <c r="E413" s="285" t="s">
        <v>1873</v>
      </c>
      <c r="F413" s="286" t="s">
        <v>1203</v>
      </c>
      <c r="G413" s="284">
        <v>180</v>
      </c>
      <c r="H413" s="284">
        <v>14</v>
      </c>
      <c r="I413" s="284">
        <v>0.95</v>
      </c>
      <c r="J413" s="287">
        <f>Y413*H413%*I413/G413*1000</f>
        <v>4342080.555555556</v>
      </c>
      <c r="K413" s="288">
        <v>4.5</v>
      </c>
      <c r="L413" s="289">
        <f>(Y413*K413%)/G413*1000</f>
        <v>1469125</v>
      </c>
      <c r="M413" s="288">
        <v>6</v>
      </c>
      <c r="N413" s="289">
        <f>(Y413*M413%)/G413*1000</f>
        <v>1958833.3333333333</v>
      </c>
      <c r="O413" s="290">
        <v>429</v>
      </c>
      <c r="P413" s="291" t="s">
        <v>433</v>
      </c>
      <c r="Q413" s="288">
        <v>1.07</v>
      </c>
      <c r="R413" s="289">
        <f>O413*dien*Q413</f>
        <v>522835.17000000004</v>
      </c>
      <c r="S413" s="292" t="s">
        <v>1204</v>
      </c>
      <c r="T413" s="296">
        <f>'Nhan cong'!M$38*2+'Nhan cong'!M$42+'Nhan cong'!M$46+'Nhan cong'!M$49</f>
        <v>765999.2307692308</v>
      </c>
      <c r="U413" s="250">
        <f>ROUND((J413+L413+N413+R413+T413),0)</f>
        <v>9058873</v>
      </c>
      <c r="V413" s="250">
        <v>9168302</v>
      </c>
      <c r="W413" s="250">
        <v>9058873</v>
      </c>
      <c r="X413" s="250">
        <v>8898378</v>
      </c>
      <c r="Y413" s="293">
        <v>5876500</v>
      </c>
      <c r="Z413" s="294"/>
      <c r="AA413" s="251"/>
      <c r="AB413" s="251"/>
    </row>
    <row r="414" spans="1:28" s="295" customFormat="1" ht="31.5">
      <c r="A414" s="284">
        <v>346</v>
      </c>
      <c r="B414" s="284" t="s">
        <v>640</v>
      </c>
      <c r="C414" s="284" t="s">
        <v>1205</v>
      </c>
      <c r="D414" s="284" t="s">
        <v>3384</v>
      </c>
      <c r="E414" s="285" t="s">
        <v>1874</v>
      </c>
      <c r="F414" s="155" t="s">
        <v>1206</v>
      </c>
      <c r="G414" s="284">
        <v>180</v>
      </c>
      <c r="H414" s="284">
        <v>14</v>
      </c>
      <c r="I414" s="284">
        <v>0.95</v>
      </c>
      <c r="J414" s="287">
        <f>Y414*H414%*I414/G414*1000</f>
        <v>4749282.222222222</v>
      </c>
      <c r="K414" s="288">
        <v>4.2</v>
      </c>
      <c r="L414" s="289">
        <f>(Y414*K414%)/G414*1000</f>
        <v>1499773.3333333333</v>
      </c>
      <c r="M414" s="288">
        <v>5</v>
      </c>
      <c r="N414" s="289">
        <f>(Y414*M414%)/G414*1000</f>
        <v>1785444.4444444443</v>
      </c>
      <c r="O414" s="290">
        <v>72.6</v>
      </c>
      <c r="P414" s="291" t="s">
        <v>1590</v>
      </c>
      <c r="Q414" s="288">
        <v>1.05</v>
      </c>
      <c r="R414" s="289">
        <f>O414*diezel*Q414</f>
        <v>1462230.1386</v>
      </c>
      <c r="S414" s="292" t="s">
        <v>1207</v>
      </c>
      <c r="T414" s="296">
        <f>'Nhan cong'!M$38*2+'Nhan cong'!M$46+'Nhan cong'!M$49</f>
        <v>620025</v>
      </c>
      <c r="U414" s="250">
        <f>ROUND((J414+L414+N414+R414+T414),0)-1</f>
        <v>10116754</v>
      </c>
      <c r="V414" s="250">
        <v>10205330</v>
      </c>
      <c r="W414" s="250">
        <v>10116754</v>
      </c>
      <c r="X414" s="250">
        <v>9986845</v>
      </c>
      <c r="Y414" s="293">
        <v>6427600</v>
      </c>
      <c r="Z414" s="294"/>
      <c r="AA414" s="251"/>
      <c r="AB414" s="251"/>
    </row>
    <row r="415" spans="1:28" s="295" customFormat="1" ht="15.75">
      <c r="A415" s="297"/>
      <c r="B415" s="284"/>
      <c r="C415" s="298"/>
      <c r="D415" s="284"/>
      <c r="E415" s="272"/>
      <c r="F415" s="151" t="s">
        <v>1208</v>
      </c>
      <c r="G415" s="284"/>
      <c r="H415" s="284"/>
      <c r="I415" s="284"/>
      <c r="J415" s="299"/>
      <c r="K415" s="288"/>
      <c r="L415" s="289"/>
      <c r="M415" s="288"/>
      <c r="N415" s="300"/>
      <c r="O415" s="290"/>
      <c r="P415" s="291"/>
      <c r="Q415" s="288"/>
      <c r="R415" s="300"/>
      <c r="S415" s="292"/>
      <c r="T415" s="296"/>
      <c r="U415" s="250"/>
      <c r="V415" s="250"/>
      <c r="W415" s="250"/>
      <c r="X415" s="250"/>
      <c r="Y415" s="293"/>
      <c r="Z415" s="385"/>
      <c r="AA415" s="251"/>
      <c r="AB415" s="251"/>
    </row>
    <row r="416" spans="1:28" s="295" customFormat="1" ht="15.75">
      <c r="A416" s="284">
        <v>347</v>
      </c>
      <c r="B416" s="284">
        <v>0</v>
      </c>
      <c r="C416" s="284" t="s">
        <v>1209</v>
      </c>
      <c r="D416" s="284" t="s">
        <v>3385</v>
      </c>
      <c r="E416" s="285" t="s">
        <v>1875</v>
      </c>
      <c r="F416" s="286" t="s">
        <v>1210</v>
      </c>
      <c r="G416" s="284">
        <v>110</v>
      </c>
      <c r="H416" s="284">
        <v>25</v>
      </c>
      <c r="I416" s="284">
        <v>1</v>
      </c>
      <c r="J416" s="287">
        <f>Y416*H416%*I416/G416*1000</f>
        <v>7386.363636363637</v>
      </c>
      <c r="K416" s="288">
        <v>8.75</v>
      </c>
      <c r="L416" s="289">
        <f>(Y416*K416%)/G416*1000</f>
        <v>2585.227272727273</v>
      </c>
      <c r="M416" s="288">
        <v>4</v>
      </c>
      <c r="N416" s="289">
        <f>(Y416*M416%)/G416*1000</f>
        <v>1181.818181818182</v>
      </c>
      <c r="O416" s="290">
        <v>1.8</v>
      </c>
      <c r="P416" s="291" t="s">
        <v>433</v>
      </c>
      <c r="Q416" s="288">
        <v>1.07</v>
      </c>
      <c r="R416" s="289">
        <f>O416*dien*Q416</f>
        <v>2193.7140000000004</v>
      </c>
      <c r="S416" s="292" t="s">
        <v>295</v>
      </c>
      <c r="T416" s="296">
        <f>'Nhan cong'!M$38</f>
        <v>125620.38461538461</v>
      </c>
      <c r="U416" s="250">
        <f>ROUND((J416+L416+N416+R416+T416),0)-1</f>
        <v>138967</v>
      </c>
      <c r="V416" s="250">
        <v>156913</v>
      </c>
      <c r="W416" s="250">
        <v>138967</v>
      </c>
      <c r="X416" s="250">
        <v>112647</v>
      </c>
      <c r="Y416" s="293">
        <v>3250</v>
      </c>
      <c r="Z416" s="294"/>
      <c r="AA416" s="251"/>
      <c r="AB416" s="251"/>
    </row>
    <row r="417" spans="1:28" s="295" customFormat="1" ht="15.75">
      <c r="A417" s="284">
        <v>348</v>
      </c>
      <c r="B417" s="284">
        <v>0</v>
      </c>
      <c r="C417" s="284" t="s">
        <v>1211</v>
      </c>
      <c r="D417" s="284" t="s">
        <v>3386</v>
      </c>
      <c r="E417" s="285" t="s">
        <v>1876</v>
      </c>
      <c r="F417" s="286" t="s">
        <v>1212</v>
      </c>
      <c r="G417" s="284">
        <v>110</v>
      </c>
      <c r="H417" s="284">
        <v>25</v>
      </c>
      <c r="I417" s="284">
        <v>1</v>
      </c>
      <c r="J417" s="287">
        <f>Y417*H417%*I417/G417*1000</f>
        <v>9318.181818181818</v>
      </c>
      <c r="K417" s="288">
        <v>8.75</v>
      </c>
      <c r="L417" s="289">
        <f>(Y417*K417%)/G417*1000</f>
        <v>3261.363636363636</v>
      </c>
      <c r="M417" s="288">
        <v>4</v>
      </c>
      <c r="N417" s="289">
        <f>(Y417*M417%)/G417*1000</f>
        <v>1490.909090909091</v>
      </c>
      <c r="O417" s="290">
        <v>2.7</v>
      </c>
      <c r="P417" s="291" t="s">
        <v>433</v>
      </c>
      <c r="Q417" s="288">
        <v>1.07</v>
      </c>
      <c r="R417" s="289">
        <f>O417*dien*Q417</f>
        <v>3290.5710000000004</v>
      </c>
      <c r="S417" s="292" t="s">
        <v>295</v>
      </c>
      <c r="T417" s="296">
        <f>'Nhan cong'!M$38</f>
        <v>125620.38461538461</v>
      </c>
      <c r="U417" s="250">
        <f>ROUND((J417+L417+N417+R417+T417),0)</f>
        <v>142981</v>
      </c>
      <c r="V417" s="250">
        <v>160927</v>
      </c>
      <c r="W417" s="250">
        <v>142981</v>
      </c>
      <c r="X417" s="250">
        <v>116661</v>
      </c>
      <c r="Y417" s="293">
        <v>4100</v>
      </c>
      <c r="Z417" s="294"/>
      <c r="AA417" s="251"/>
      <c r="AB417" s="251"/>
    </row>
    <row r="418" spans="1:28" s="295" customFormat="1" ht="15.75">
      <c r="A418" s="284">
        <v>349</v>
      </c>
      <c r="B418" s="284">
        <v>0</v>
      </c>
      <c r="C418" s="284" t="s">
        <v>1213</v>
      </c>
      <c r="D418" s="284" t="s">
        <v>3387</v>
      </c>
      <c r="E418" s="285" t="s">
        <v>1877</v>
      </c>
      <c r="F418" s="286" t="s">
        <v>1214</v>
      </c>
      <c r="G418" s="284">
        <v>110</v>
      </c>
      <c r="H418" s="284">
        <v>25</v>
      </c>
      <c r="I418" s="284">
        <v>1</v>
      </c>
      <c r="J418" s="287">
        <f>Y418*H418%*I418/G418*1000</f>
        <v>10795.454545454544</v>
      </c>
      <c r="K418" s="288">
        <v>8.75</v>
      </c>
      <c r="L418" s="289">
        <f>(Y418*K418%)/G418*1000</f>
        <v>3778.409090909091</v>
      </c>
      <c r="M418" s="288">
        <v>4</v>
      </c>
      <c r="N418" s="289">
        <f>(Y418*M418%)/G418*1000</f>
        <v>1727.2727272727273</v>
      </c>
      <c r="O418" s="290">
        <v>3.6</v>
      </c>
      <c r="P418" s="291" t="s">
        <v>433</v>
      </c>
      <c r="Q418" s="288">
        <v>1.07</v>
      </c>
      <c r="R418" s="289">
        <f>O418*dien*Q418</f>
        <v>4387.428000000001</v>
      </c>
      <c r="S418" s="292" t="s">
        <v>295</v>
      </c>
      <c r="T418" s="296">
        <f>'Nhan cong'!M$38</f>
        <v>125620.38461538461</v>
      </c>
      <c r="U418" s="250">
        <f>ROUND((J418+L418+N418+R418+T418),0)</f>
        <v>146309</v>
      </c>
      <c r="V418" s="250">
        <v>164255</v>
      </c>
      <c r="W418" s="250">
        <v>146309</v>
      </c>
      <c r="X418" s="250">
        <v>119989</v>
      </c>
      <c r="Y418" s="293">
        <v>4750</v>
      </c>
      <c r="Z418" s="294"/>
      <c r="AA418" s="251"/>
      <c r="AB418" s="251"/>
    </row>
    <row r="419" spans="1:28" s="295" customFormat="1" ht="15.75">
      <c r="A419" s="284">
        <v>350</v>
      </c>
      <c r="B419" s="284" t="s">
        <v>3809</v>
      </c>
      <c r="C419" s="284" t="s">
        <v>1215</v>
      </c>
      <c r="D419" s="284" t="s">
        <v>994</v>
      </c>
      <c r="E419" s="285" t="s">
        <v>1878</v>
      </c>
      <c r="F419" s="286" t="s">
        <v>1104</v>
      </c>
      <c r="G419" s="284">
        <v>110</v>
      </c>
      <c r="H419" s="284">
        <v>25</v>
      </c>
      <c r="I419" s="284">
        <v>1</v>
      </c>
      <c r="J419" s="287">
        <f>Y419*H419%*I419/G419*1000</f>
        <v>12727.272727272726</v>
      </c>
      <c r="K419" s="288">
        <v>8.75</v>
      </c>
      <c r="L419" s="289">
        <f>(Y419*K419%)/G419*1000</f>
        <v>4454.545454545454</v>
      </c>
      <c r="M419" s="288">
        <v>4</v>
      </c>
      <c r="N419" s="289">
        <f>(Y419*M419%)/G419*1000</f>
        <v>2036.3636363636363</v>
      </c>
      <c r="O419" s="290">
        <v>4.5</v>
      </c>
      <c r="P419" s="291" t="s">
        <v>433</v>
      </c>
      <c r="Q419" s="288">
        <v>1.07</v>
      </c>
      <c r="R419" s="289">
        <f>O419*dien*Q419</f>
        <v>5484.285000000001</v>
      </c>
      <c r="S419" s="292" t="s">
        <v>295</v>
      </c>
      <c r="T419" s="296">
        <f>'Nhan cong'!M$38</f>
        <v>125620.38461538461</v>
      </c>
      <c r="U419" s="250">
        <f>ROUND((J419+L419+N419+R419+T419),0)-1</f>
        <v>150322</v>
      </c>
      <c r="V419" s="250">
        <v>168268</v>
      </c>
      <c r="W419" s="250">
        <v>150322</v>
      </c>
      <c r="X419" s="250">
        <v>124002</v>
      </c>
      <c r="Y419" s="293">
        <v>5600</v>
      </c>
      <c r="Z419" s="294"/>
      <c r="AA419" s="251"/>
      <c r="AB419" s="251"/>
    </row>
    <row r="420" spans="1:28" s="295" customFormat="1" ht="15.75">
      <c r="A420" s="297"/>
      <c r="B420" s="284"/>
      <c r="C420" s="298"/>
      <c r="D420" s="284"/>
      <c r="E420" s="272"/>
      <c r="F420" s="151" t="s">
        <v>1216</v>
      </c>
      <c r="G420" s="284"/>
      <c r="H420" s="284"/>
      <c r="I420" s="284"/>
      <c r="J420" s="299"/>
      <c r="K420" s="288"/>
      <c r="L420" s="289"/>
      <c r="M420" s="288"/>
      <c r="N420" s="300"/>
      <c r="O420" s="290"/>
      <c r="P420" s="291"/>
      <c r="Q420" s="288"/>
      <c r="R420" s="300"/>
      <c r="S420" s="292"/>
      <c r="T420" s="296"/>
      <c r="U420" s="250"/>
      <c r="V420" s="250"/>
      <c r="W420" s="250"/>
      <c r="X420" s="250"/>
      <c r="Y420" s="293"/>
      <c r="Z420" s="385"/>
      <c r="AA420" s="251"/>
      <c r="AB420" s="251"/>
    </row>
    <row r="421" spans="1:28" s="295" customFormat="1" ht="15.75">
      <c r="A421" s="284">
        <v>351</v>
      </c>
      <c r="B421" s="284" t="s">
        <v>3809</v>
      </c>
      <c r="C421" s="284" t="s">
        <v>1217</v>
      </c>
      <c r="D421" s="284" t="s">
        <v>994</v>
      </c>
      <c r="E421" s="285" t="s">
        <v>1878</v>
      </c>
      <c r="F421" s="286" t="s">
        <v>1104</v>
      </c>
      <c r="G421" s="284">
        <v>110</v>
      </c>
      <c r="H421" s="284">
        <v>25</v>
      </c>
      <c r="I421" s="284">
        <v>1</v>
      </c>
      <c r="J421" s="287">
        <f>Y421*H421%*I421/G421*1000</f>
        <v>10000</v>
      </c>
      <c r="K421" s="288">
        <v>8.75</v>
      </c>
      <c r="L421" s="289">
        <f>(Y421*K421%)/G421*1000</f>
        <v>3500</v>
      </c>
      <c r="M421" s="288">
        <v>4</v>
      </c>
      <c r="N421" s="289">
        <f>(Y421*M421%)/G421*1000</f>
        <v>1600</v>
      </c>
      <c r="O421" s="290">
        <v>4.5</v>
      </c>
      <c r="P421" s="291" t="s">
        <v>433</v>
      </c>
      <c r="Q421" s="288">
        <v>1.07</v>
      </c>
      <c r="R421" s="289">
        <f>O421*dien*Q421</f>
        <v>5484.285000000001</v>
      </c>
      <c r="S421" s="292" t="s">
        <v>295</v>
      </c>
      <c r="T421" s="296">
        <f>'Nhan cong'!M$38</f>
        <v>125620.38461538461</v>
      </c>
      <c r="U421" s="250">
        <f>ROUND((J421+L421+N421+R421+T421),0)-1</f>
        <v>146204</v>
      </c>
      <c r="V421" s="250">
        <v>164150</v>
      </c>
      <c r="W421" s="250">
        <v>146204</v>
      </c>
      <c r="X421" s="250">
        <v>119884</v>
      </c>
      <c r="Y421" s="293">
        <v>4400</v>
      </c>
      <c r="Z421" s="294"/>
      <c r="AA421" s="251"/>
      <c r="AB421" s="251"/>
    </row>
    <row r="422" spans="1:28" s="295" customFormat="1" ht="15.75">
      <c r="A422" s="297"/>
      <c r="B422" s="284"/>
      <c r="C422" s="298"/>
      <c r="D422" s="284"/>
      <c r="E422" s="272"/>
      <c r="F422" s="151" t="s">
        <v>1218</v>
      </c>
      <c r="G422" s="284"/>
      <c r="H422" s="284"/>
      <c r="I422" s="284"/>
      <c r="J422" s="299"/>
      <c r="K422" s="288"/>
      <c r="L422" s="289"/>
      <c r="M422" s="288"/>
      <c r="N422" s="300"/>
      <c r="O422" s="290"/>
      <c r="P422" s="291"/>
      <c r="Q422" s="288"/>
      <c r="R422" s="300"/>
      <c r="S422" s="292"/>
      <c r="T422" s="296"/>
      <c r="U422" s="250"/>
      <c r="V422" s="250"/>
      <c r="W422" s="250"/>
      <c r="X422" s="250"/>
      <c r="Y422" s="293"/>
      <c r="Z422" s="385"/>
      <c r="AA422" s="251"/>
      <c r="AB422" s="251"/>
    </row>
    <row r="423" spans="1:28" s="295" customFormat="1" ht="15.75">
      <c r="A423" s="284">
        <v>352</v>
      </c>
      <c r="B423" s="284">
        <v>0</v>
      </c>
      <c r="C423" s="284" t="s">
        <v>1219</v>
      </c>
      <c r="D423" s="284" t="s">
        <v>3386</v>
      </c>
      <c r="E423" s="285" t="s">
        <v>1876</v>
      </c>
      <c r="F423" s="286" t="s">
        <v>1212</v>
      </c>
      <c r="G423" s="284">
        <v>110</v>
      </c>
      <c r="H423" s="284">
        <v>25</v>
      </c>
      <c r="I423" s="284">
        <v>1</v>
      </c>
      <c r="J423" s="287">
        <f aca="true" t="shared" si="112" ref="J423:J428">Y423*H423%*I423/G423*1000</f>
        <v>8863.636363636364</v>
      </c>
      <c r="K423" s="288">
        <v>8.75</v>
      </c>
      <c r="L423" s="289">
        <f aca="true" t="shared" si="113" ref="L423:L428">(Y423*K423%)/G423*1000</f>
        <v>3102.272727272727</v>
      </c>
      <c r="M423" s="288">
        <v>4</v>
      </c>
      <c r="N423" s="289">
        <f aca="true" t="shared" si="114" ref="N423:N428">(Y423*M423%)/G423*1000</f>
        <v>1418.1818181818182</v>
      </c>
      <c r="O423" s="290">
        <v>2.7</v>
      </c>
      <c r="P423" s="291" t="s">
        <v>433</v>
      </c>
      <c r="Q423" s="288">
        <v>1.07</v>
      </c>
      <c r="R423" s="289">
        <f aca="true" t="shared" si="115" ref="R423:R428">O423*dien*Q423</f>
        <v>3290.5710000000004</v>
      </c>
      <c r="S423" s="292" t="s">
        <v>295</v>
      </c>
      <c r="T423" s="296">
        <f>'Nhan cong'!M$38</f>
        <v>125620.38461538461</v>
      </c>
      <c r="U423" s="250">
        <f aca="true" t="shared" si="116" ref="U423:U428">ROUND((J423+L423+N423+R423+T423),0)</f>
        <v>142295</v>
      </c>
      <c r="V423" s="250">
        <v>160241</v>
      </c>
      <c r="W423" s="250">
        <v>142295</v>
      </c>
      <c r="X423" s="250">
        <v>115975</v>
      </c>
      <c r="Y423" s="293">
        <v>3900</v>
      </c>
      <c r="Z423" s="294"/>
      <c r="AA423" s="251"/>
      <c r="AB423" s="251"/>
    </row>
    <row r="424" spans="1:28" s="295" customFormat="1" ht="15.75">
      <c r="A424" s="284">
        <v>353</v>
      </c>
      <c r="B424" s="284">
        <v>0</v>
      </c>
      <c r="C424" s="284" t="s">
        <v>1220</v>
      </c>
      <c r="D424" s="284" t="s">
        <v>3387</v>
      </c>
      <c r="E424" s="285" t="s">
        <v>1877</v>
      </c>
      <c r="F424" s="286" t="s">
        <v>1214</v>
      </c>
      <c r="G424" s="284">
        <v>110</v>
      </c>
      <c r="H424" s="284">
        <v>25</v>
      </c>
      <c r="I424" s="284">
        <v>1</v>
      </c>
      <c r="J424" s="287">
        <f t="shared" si="112"/>
        <v>11590.909090909092</v>
      </c>
      <c r="K424" s="288">
        <v>8.75</v>
      </c>
      <c r="L424" s="289">
        <f t="shared" si="113"/>
        <v>4056.8181818181815</v>
      </c>
      <c r="M424" s="288">
        <v>4</v>
      </c>
      <c r="N424" s="289">
        <f t="shared" si="114"/>
        <v>1854.5454545454545</v>
      </c>
      <c r="O424" s="290">
        <v>3.6</v>
      </c>
      <c r="P424" s="291" t="s">
        <v>433</v>
      </c>
      <c r="Q424" s="288">
        <v>1.07</v>
      </c>
      <c r="R424" s="289">
        <f t="shared" si="115"/>
        <v>4387.428000000001</v>
      </c>
      <c r="S424" s="292" t="s">
        <v>295</v>
      </c>
      <c r="T424" s="296">
        <f>'Nhan cong'!M$38</f>
        <v>125620.38461538461</v>
      </c>
      <c r="U424" s="250">
        <f t="shared" si="116"/>
        <v>147510</v>
      </c>
      <c r="V424" s="250">
        <v>165456</v>
      </c>
      <c r="W424" s="250">
        <v>147510</v>
      </c>
      <c r="X424" s="250">
        <v>121190</v>
      </c>
      <c r="Y424" s="293">
        <v>5100</v>
      </c>
      <c r="Z424" s="294"/>
      <c r="AA424" s="251"/>
      <c r="AB424" s="251"/>
    </row>
    <row r="425" spans="1:28" s="295" customFormat="1" ht="15.75">
      <c r="A425" s="284">
        <v>354</v>
      </c>
      <c r="B425" s="284">
        <v>0</v>
      </c>
      <c r="C425" s="284" t="s">
        <v>1221</v>
      </c>
      <c r="D425" s="284" t="s">
        <v>3388</v>
      </c>
      <c r="E425" s="285" t="s">
        <v>1879</v>
      </c>
      <c r="F425" s="286" t="s">
        <v>1104</v>
      </c>
      <c r="G425" s="284">
        <v>110</v>
      </c>
      <c r="H425" s="284">
        <v>20</v>
      </c>
      <c r="I425" s="284">
        <v>1</v>
      </c>
      <c r="J425" s="287">
        <f t="shared" si="112"/>
        <v>10545.454545454544</v>
      </c>
      <c r="K425" s="288">
        <v>8.75</v>
      </c>
      <c r="L425" s="289">
        <f t="shared" si="113"/>
        <v>4613.636363636363</v>
      </c>
      <c r="M425" s="288">
        <v>4</v>
      </c>
      <c r="N425" s="289">
        <f t="shared" si="114"/>
        <v>2109.090909090909</v>
      </c>
      <c r="O425" s="290">
        <v>4.5</v>
      </c>
      <c r="P425" s="291" t="s">
        <v>433</v>
      </c>
      <c r="Q425" s="288">
        <v>1.07</v>
      </c>
      <c r="R425" s="289">
        <f t="shared" si="115"/>
        <v>5484.285000000001</v>
      </c>
      <c r="S425" s="292" t="s">
        <v>295</v>
      </c>
      <c r="T425" s="296">
        <f>'Nhan cong'!M$38</f>
        <v>125620.38461538461</v>
      </c>
      <c r="U425" s="250">
        <f>ROUND((J425+L425+N425+R425+T425),0)-1</f>
        <v>148372</v>
      </c>
      <c r="V425" s="250">
        <v>166318</v>
      </c>
      <c r="W425" s="250">
        <v>148372</v>
      </c>
      <c r="X425" s="250">
        <v>122052</v>
      </c>
      <c r="Y425" s="293">
        <v>5800</v>
      </c>
      <c r="Z425" s="294"/>
      <c r="AA425" s="251"/>
      <c r="AB425" s="251"/>
    </row>
    <row r="426" spans="1:28" s="295" customFormat="1" ht="15.75">
      <c r="A426" s="284">
        <v>355</v>
      </c>
      <c r="B426" s="284" t="s">
        <v>3811</v>
      </c>
      <c r="C426" s="284" t="s">
        <v>1222</v>
      </c>
      <c r="D426" s="284" t="s">
        <v>3389</v>
      </c>
      <c r="E426" s="285" t="s">
        <v>1880</v>
      </c>
      <c r="F426" s="286" t="s">
        <v>1223</v>
      </c>
      <c r="G426" s="284">
        <v>110</v>
      </c>
      <c r="H426" s="284">
        <v>20</v>
      </c>
      <c r="I426" s="284">
        <v>1</v>
      </c>
      <c r="J426" s="287">
        <f t="shared" si="112"/>
        <v>11727.272727272726</v>
      </c>
      <c r="K426" s="288">
        <v>8.75</v>
      </c>
      <c r="L426" s="289">
        <f t="shared" si="113"/>
        <v>5130.681818181818</v>
      </c>
      <c r="M426" s="288">
        <v>4</v>
      </c>
      <c r="N426" s="289">
        <f t="shared" si="114"/>
        <v>2345.454545454545</v>
      </c>
      <c r="O426" s="290">
        <v>6.75</v>
      </c>
      <c r="P426" s="291" t="s">
        <v>433</v>
      </c>
      <c r="Q426" s="288">
        <v>1.07</v>
      </c>
      <c r="R426" s="289">
        <f t="shared" si="115"/>
        <v>8226.4275</v>
      </c>
      <c r="S426" s="292" t="s">
        <v>295</v>
      </c>
      <c r="T426" s="296">
        <f>'Nhan cong'!M$38</f>
        <v>125620.38461538461</v>
      </c>
      <c r="U426" s="250">
        <f t="shared" si="116"/>
        <v>153050</v>
      </c>
      <c r="V426" s="250">
        <v>170996</v>
      </c>
      <c r="W426" s="250">
        <v>153050</v>
      </c>
      <c r="X426" s="250">
        <v>126730</v>
      </c>
      <c r="Y426" s="293">
        <v>6450</v>
      </c>
      <c r="Z426" s="294"/>
      <c r="AA426" s="251"/>
      <c r="AB426" s="251"/>
    </row>
    <row r="427" spans="1:28" s="295" customFormat="1" ht="15.75">
      <c r="A427" s="284">
        <v>356</v>
      </c>
      <c r="B427" s="284">
        <v>0</v>
      </c>
      <c r="C427" s="284" t="s">
        <v>1224</v>
      </c>
      <c r="D427" s="284" t="s">
        <v>3390</v>
      </c>
      <c r="E427" s="285" t="s">
        <v>1881</v>
      </c>
      <c r="F427" s="286" t="s">
        <v>1225</v>
      </c>
      <c r="G427" s="284">
        <v>110</v>
      </c>
      <c r="H427" s="284">
        <v>20</v>
      </c>
      <c r="I427" s="284">
        <v>1</v>
      </c>
      <c r="J427" s="287">
        <f t="shared" si="112"/>
        <v>14545.454545454544</v>
      </c>
      <c r="K427" s="288">
        <v>8.75</v>
      </c>
      <c r="L427" s="289">
        <f t="shared" si="113"/>
        <v>6363.636363636363</v>
      </c>
      <c r="M427" s="288">
        <v>4</v>
      </c>
      <c r="N427" s="289">
        <f t="shared" si="114"/>
        <v>2909.090909090909</v>
      </c>
      <c r="O427" s="290">
        <v>12.6</v>
      </c>
      <c r="P427" s="291" t="s">
        <v>433</v>
      </c>
      <c r="Q427" s="288">
        <v>1.07</v>
      </c>
      <c r="R427" s="289">
        <f t="shared" si="115"/>
        <v>15355.998000000001</v>
      </c>
      <c r="S427" s="292" t="s">
        <v>295</v>
      </c>
      <c r="T427" s="296">
        <f>'Nhan cong'!M$38</f>
        <v>125620.38461538461</v>
      </c>
      <c r="U427" s="250">
        <f>ROUND((J427+L427+N427+R427+T427),0)-1</f>
        <v>164794</v>
      </c>
      <c r="V427" s="250">
        <v>182740</v>
      </c>
      <c r="W427" s="250">
        <v>164794</v>
      </c>
      <c r="X427" s="250">
        <v>138474</v>
      </c>
      <c r="Y427" s="293">
        <v>8000</v>
      </c>
      <c r="Z427" s="294"/>
      <c r="AA427" s="251"/>
      <c r="AB427" s="251"/>
    </row>
    <row r="428" spans="1:28" s="295" customFormat="1" ht="15.75">
      <c r="A428" s="284">
        <v>357</v>
      </c>
      <c r="B428" s="284">
        <v>0</v>
      </c>
      <c r="C428" s="284" t="s">
        <v>1226</v>
      </c>
      <c r="D428" s="284" t="s">
        <v>3391</v>
      </c>
      <c r="E428" s="285" t="s">
        <v>1882</v>
      </c>
      <c r="F428" s="286" t="s">
        <v>1227</v>
      </c>
      <c r="G428" s="284">
        <v>110</v>
      </c>
      <c r="H428" s="284">
        <v>20</v>
      </c>
      <c r="I428" s="284">
        <v>0.95</v>
      </c>
      <c r="J428" s="287">
        <f t="shared" si="112"/>
        <v>36963.63636363636</v>
      </c>
      <c r="K428" s="288">
        <v>6.5</v>
      </c>
      <c r="L428" s="289">
        <f t="shared" si="113"/>
        <v>12645.454545454544</v>
      </c>
      <c r="M428" s="288">
        <v>4</v>
      </c>
      <c r="N428" s="289">
        <f t="shared" si="114"/>
        <v>7781.818181818182</v>
      </c>
      <c r="O428" s="290">
        <v>15.75</v>
      </c>
      <c r="P428" s="291" t="s">
        <v>433</v>
      </c>
      <c r="Q428" s="288">
        <v>1.07</v>
      </c>
      <c r="R428" s="289">
        <f t="shared" si="115"/>
        <v>19194.9975</v>
      </c>
      <c r="S428" s="292" t="s">
        <v>295</v>
      </c>
      <c r="T428" s="296">
        <f>'Nhan cong'!M$38</f>
        <v>125620.38461538461</v>
      </c>
      <c r="U428" s="250">
        <f t="shared" si="116"/>
        <v>202206</v>
      </c>
      <c r="V428" s="250">
        <v>220152</v>
      </c>
      <c r="W428" s="250">
        <v>202206</v>
      </c>
      <c r="X428" s="250">
        <v>175886</v>
      </c>
      <c r="Y428" s="293">
        <v>21400</v>
      </c>
      <c r="Z428" s="294"/>
      <c r="AA428" s="251"/>
      <c r="AB428" s="251"/>
    </row>
    <row r="429" spans="1:28" s="295" customFormat="1" ht="15.75">
      <c r="A429" s="297"/>
      <c r="B429" s="284"/>
      <c r="C429" s="298"/>
      <c r="D429" s="284"/>
      <c r="E429" s="272"/>
      <c r="F429" s="151" t="s">
        <v>1228</v>
      </c>
      <c r="G429" s="284"/>
      <c r="H429" s="284"/>
      <c r="I429" s="284"/>
      <c r="J429" s="299"/>
      <c r="K429" s="288"/>
      <c r="L429" s="289"/>
      <c r="M429" s="288"/>
      <c r="N429" s="300"/>
      <c r="O429" s="290"/>
      <c r="P429" s="291"/>
      <c r="Q429" s="288"/>
      <c r="R429" s="300"/>
      <c r="S429" s="292"/>
      <c r="T429" s="296"/>
      <c r="U429" s="250"/>
      <c r="V429" s="250"/>
      <c r="W429" s="250"/>
      <c r="X429" s="250"/>
      <c r="Y429" s="293"/>
      <c r="Z429" s="385"/>
      <c r="AA429" s="251"/>
      <c r="AB429" s="251"/>
    </row>
    <row r="430" spans="1:28" s="295" customFormat="1" ht="15.75">
      <c r="A430" s="284">
        <v>358</v>
      </c>
      <c r="B430" s="284">
        <v>0</v>
      </c>
      <c r="C430" s="284" t="s">
        <v>1229</v>
      </c>
      <c r="D430" s="284" t="s">
        <v>3392</v>
      </c>
      <c r="E430" s="285" t="s">
        <v>1883</v>
      </c>
      <c r="F430" s="286" t="s">
        <v>1230</v>
      </c>
      <c r="G430" s="284">
        <v>110</v>
      </c>
      <c r="H430" s="284">
        <v>20</v>
      </c>
      <c r="I430" s="284">
        <v>1</v>
      </c>
      <c r="J430" s="287">
        <f>Y430*H430%*I430/G430*1000</f>
        <v>21636.363636363636</v>
      </c>
      <c r="K430" s="288">
        <v>7.6</v>
      </c>
      <c r="L430" s="289">
        <f>(Y430*K430%)/G430*1000</f>
        <v>8221.81818181818</v>
      </c>
      <c r="M430" s="288">
        <v>5</v>
      </c>
      <c r="N430" s="289">
        <f>(Y430*M430%)/G430*1000</f>
        <v>5409.090909090909</v>
      </c>
      <c r="O430" s="290">
        <v>29.4</v>
      </c>
      <c r="P430" s="291" t="s">
        <v>433</v>
      </c>
      <c r="Q430" s="288">
        <v>1.07</v>
      </c>
      <c r="R430" s="289">
        <f>O430*dien*Q430</f>
        <v>35830.662000000004</v>
      </c>
      <c r="S430" s="292" t="s">
        <v>295</v>
      </c>
      <c r="T430" s="296">
        <f>'Nhan cong'!M$38</f>
        <v>125620.38461538461</v>
      </c>
      <c r="U430" s="250">
        <f>ROUND((J430+L430+N430+R430+T430),0)</f>
        <v>196718</v>
      </c>
      <c r="V430" s="250">
        <v>213582</v>
      </c>
      <c r="W430" s="250">
        <v>195636</v>
      </c>
      <c r="X430" s="250">
        <v>169316</v>
      </c>
      <c r="Y430" s="293">
        <v>11900</v>
      </c>
      <c r="Z430" s="294"/>
      <c r="AA430" s="251"/>
      <c r="AB430" s="251"/>
    </row>
    <row r="431" spans="1:28" s="295" customFormat="1" ht="15.75">
      <c r="A431" s="284">
        <v>359</v>
      </c>
      <c r="B431" s="284">
        <v>0</v>
      </c>
      <c r="C431" s="284" t="s">
        <v>1231</v>
      </c>
      <c r="D431" s="284" t="s">
        <v>3393</v>
      </c>
      <c r="E431" s="285" t="s">
        <v>1884</v>
      </c>
      <c r="F431" s="286" t="s">
        <v>1232</v>
      </c>
      <c r="G431" s="284">
        <v>110</v>
      </c>
      <c r="H431" s="284">
        <v>20</v>
      </c>
      <c r="I431" s="284">
        <v>0.95</v>
      </c>
      <c r="J431" s="287">
        <f>Y431*H431%*I431/G431*1000</f>
        <v>28500</v>
      </c>
      <c r="K431" s="288">
        <v>7.6</v>
      </c>
      <c r="L431" s="289">
        <f>(Y431*K431%)/G431*1000</f>
        <v>11400</v>
      </c>
      <c r="M431" s="288">
        <v>5</v>
      </c>
      <c r="N431" s="289">
        <f>(Y431*M431%)/G431*1000</f>
        <v>7500</v>
      </c>
      <c r="O431" s="290">
        <v>75.6</v>
      </c>
      <c r="P431" s="291" t="s">
        <v>433</v>
      </c>
      <c r="Q431" s="288">
        <v>1.07</v>
      </c>
      <c r="R431" s="289">
        <f>O431*dien*Q431</f>
        <v>92135.988</v>
      </c>
      <c r="S431" s="292" t="s">
        <v>1591</v>
      </c>
      <c r="T431" s="289">
        <f>'Nhan cong'!$M$42</f>
        <v>145974.23076923078</v>
      </c>
      <c r="U431" s="250">
        <f>ROUND((J431+L431+N431+R431+T431),0)</f>
        <v>285510</v>
      </c>
      <c r="V431" s="250">
        <v>306364</v>
      </c>
      <c r="W431" s="250">
        <v>285510</v>
      </c>
      <c r="X431" s="250">
        <v>254925</v>
      </c>
      <c r="Y431" s="293">
        <v>16500</v>
      </c>
      <c r="Z431" s="294"/>
      <c r="AA431" s="251"/>
      <c r="AB431" s="251"/>
    </row>
    <row r="432" spans="1:28" s="295" customFormat="1" ht="15.75">
      <c r="A432" s="284">
        <v>360</v>
      </c>
      <c r="B432" s="284">
        <v>0</v>
      </c>
      <c r="C432" s="284" t="s">
        <v>1233</v>
      </c>
      <c r="D432" s="284" t="s">
        <v>3394</v>
      </c>
      <c r="E432" s="285" t="s">
        <v>1885</v>
      </c>
      <c r="F432" s="286" t="s">
        <v>1234</v>
      </c>
      <c r="G432" s="284">
        <v>110</v>
      </c>
      <c r="H432" s="284">
        <v>20</v>
      </c>
      <c r="I432" s="284">
        <v>0.95</v>
      </c>
      <c r="J432" s="287">
        <f>Y432*H432%*I432/G432*1000</f>
        <v>35581.81818181818</v>
      </c>
      <c r="K432" s="288">
        <v>7.6</v>
      </c>
      <c r="L432" s="289">
        <f>(Y432*K432%)/G432*1000</f>
        <v>14232.727272727272</v>
      </c>
      <c r="M432" s="288">
        <v>5</v>
      </c>
      <c r="N432" s="289">
        <f>(Y432*M432%)/G432*1000</f>
        <v>9363.636363636364</v>
      </c>
      <c r="O432" s="290">
        <v>96.6</v>
      </c>
      <c r="P432" s="291" t="s">
        <v>433</v>
      </c>
      <c r="Q432" s="288">
        <v>1.07</v>
      </c>
      <c r="R432" s="289">
        <f>O432*dien*Q432</f>
        <v>117729.318</v>
      </c>
      <c r="S432" s="292" t="s">
        <v>1591</v>
      </c>
      <c r="T432" s="289">
        <f>'Nhan cong'!$M$42</f>
        <v>145974.23076923078</v>
      </c>
      <c r="U432" s="250">
        <f>ROUND((J432+L432+N432+R432+T432),0)</f>
        <v>322882</v>
      </c>
      <c r="V432" s="250">
        <v>343735</v>
      </c>
      <c r="W432" s="250">
        <v>322882</v>
      </c>
      <c r="X432" s="250">
        <v>292296</v>
      </c>
      <c r="Y432" s="293">
        <v>20600</v>
      </c>
      <c r="Z432" s="294"/>
      <c r="AA432" s="251"/>
      <c r="AB432" s="251"/>
    </row>
    <row r="433" spans="1:28" s="295" customFormat="1" ht="15.75">
      <c r="A433" s="297"/>
      <c r="B433" s="284"/>
      <c r="C433" s="298"/>
      <c r="D433" s="284"/>
      <c r="E433" s="272"/>
      <c r="F433" s="151" t="s">
        <v>1235</v>
      </c>
      <c r="G433" s="284"/>
      <c r="H433" s="284"/>
      <c r="I433" s="284"/>
      <c r="J433" s="299"/>
      <c r="K433" s="288"/>
      <c r="L433" s="289"/>
      <c r="M433" s="288"/>
      <c r="N433" s="300"/>
      <c r="O433" s="290"/>
      <c r="P433" s="291"/>
      <c r="Q433" s="288"/>
      <c r="R433" s="300"/>
      <c r="S433" s="292"/>
      <c r="T433" s="289"/>
      <c r="U433" s="250"/>
      <c r="V433" s="250"/>
      <c r="W433" s="250"/>
      <c r="X433" s="250"/>
      <c r="Y433" s="293"/>
      <c r="Z433" s="385"/>
      <c r="AA433" s="251"/>
      <c r="AB433" s="251"/>
    </row>
    <row r="434" spans="1:28" s="295" customFormat="1" ht="15.75">
      <c r="A434" s="284">
        <v>361</v>
      </c>
      <c r="B434" s="284">
        <v>0</v>
      </c>
      <c r="C434" s="284" t="s">
        <v>1236</v>
      </c>
      <c r="D434" s="284" t="s">
        <v>3395</v>
      </c>
      <c r="E434" s="285" t="s">
        <v>1886</v>
      </c>
      <c r="F434" s="286" t="s">
        <v>1182</v>
      </c>
      <c r="G434" s="284">
        <v>220</v>
      </c>
      <c r="H434" s="284">
        <v>20</v>
      </c>
      <c r="I434" s="284">
        <v>0.95</v>
      </c>
      <c r="J434" s="287">
        <f>Y434*H434%*I434/G434*1000</f>
        <v>309527.2727272727</v>
      </c>
      <c r="K434" s="288">
        <v>8.6</v>
      </c>
      <c r="L434" s="289">
        <f>(Y434*K434%)/G434*1000</f>
        <v>140101.81818181818</v>
      </c>
      <c r="M434" s="288">
        <v>5</v>
      </c>
      <c r="N434" s="289">
        <f>(Y434*M434%)/G434*1000</f>
        <v>81454.54545454546</v>
      </c>
      <c r="O434" s="290">
        <v>63</v>
      </c>
      <c r="P434" s="291" t="s">
        <v>433</v>
      </c>
      <c r="Q434" s="288">
        <v>1.07</v>
      </c>
      <c r="R434" s="289">
        <f>O434*dien*Q434</f>
        <v>76779.99</v>
      </c>
      <c r="S434" s="292" t="s">
        <v>1183</v>
      </c>
      <c r="T434" s="296">
        <f>'Nhan cong'!M$38+'Nhan cong'!M$42</f>
        <v>271594.6153846154</v>
      </c>
      <c r="U434" s="250">
        <f>ROUND((J434+L434+N434+R434+T434),0)+1</f>
        <v>879459</v>
      </c>
      <c r="V434" s="250">
        <v>918258</v>
      </c>
      <c r="W434" s="250">
        <v>879459</v>
      </c>
      <c r="X434" s="250">
        <v>822553</v>
      </c>
      <c r="Y434" s="293">
        <v>358400</v>
      </c>
      <c r="Z434" s="294"/>
      <c r="AA434" s="251"/>
      <c r="AB434" s="251"/>
    </row>
    <row r="435" spans="1:28" s="295" customFormat="1" ht="15.75">
      <c r="A435" s="284">
        <v>362</v>
      </c>
      <c r="B435" s="284">
        <v>0</v>
      </c>
      <c r="C435" s="284" t="s">
        <v>1237</v>
      </c>
      <c r="D435" s="284" t="s">
        <v>3396</v>
      </c>
      <c r="E435" s="285" t="s">
        <v>1887</v>
      </c>
      <c r="F435" s="286" t="s">
        <v>1156</v>
      </c>
      <c r="G435" s="284">
        <v>220</v>
      </c>
      <c r="H435" s="284">
        <v>20</v>
      </c>
      <c r="I435" s="284">
        <v>0.95</v>
      </c>
      <c r="J435" s="287">
        <f>Y435*H435%*I435/G435*1000</f>
        <v>1017881.8181818181</v>
      </c>
      <c r="K435" s="288">
        <v>8.6</v>
      </c>
      <c r="L435" s="289">
        <f>(Y435*K435%)/G435*1000</f>
        <v>460725.45454545453</v>
      </c>
      <c r="M435" s="288">
        <v>5</v>
      </c>
      <c r="N435" s="289">
        <f>(Y435*M435%)/G435*1000</f>
        <v>267863.63636363635</v>
      </c>
      <c r="O435" s="290">
        <v>315</v>
      </c>
      <c r="P435" s="291" t="s">
        <v>433</v>
      </c>
      <c r="Q435" s="288">
        <v>1.07</v>
      </c>
      <c r="R435" s="289">
        <f>O435*dien*Q435</f>
        <v>383899.95</v>
      </c>
      <c r="S435" s="292" t="s">
        <v>1183</v>
      </c>
      <c r="T435" s="296">
        <f>'Nhan cong'!M$38+'Nhan cong'!M$42</f>
        <v>271594.6153846154</v>
      </c>
      <c r="U435" s="250">
        <f>ROUND((J435+L435+N435+R435+T435),0)+1</f>
        <v>2401966</v>
      </c>
      <c r="V435" s="250">
        <v>2440765</v>
      </c>
      <c r="W435" s="250">
        <v>2401966</v>
      </c>
      <c r="X435" s="250">
        <v>2345060</v>
      </c>
      <c r="Y435" s="293">
        <v>1178600</v>
      </c>
      <c r="Z435" s="294"/>
      <c r="AA435" s="251"/>
      <c r="AB435" s="251"/>
    </row>
    <row r="436" spans="1:28" s="295" customFormat="1" ht="15.75">
      <c r="A436" s="284">
        <v>363</v>
      </c>
      <c r="B436" s="284">
        <v>0</v>
      </c>
      <c r="C436" s="284" t="s">
        <v>1238</v>
      </c>
      <c r="D436" s="284" t="s">
        <v>3397</v>
      </c>
      <c r="E436" s="285" t="s">
        <v>1888</v>
      </c>
      <c r="F436" s="286" t="s">
        <v>1160</v>
      </c>
      <c r="G436" s="284">
        <v>220</v>
      </c>
      <c r="H436" s="284">
        <v>20</v>
      </c>
      <c r="I436" s="284">
        <v>0.95</v>
      </c>
      <c r="J436" s="287">
        <f>Y436*H436%*I436/G436*1000</f>
        <v>1330431.8181818184</v>
      </c>
      <c r="K436" s="288">
        <v>7.6</v>
      </c>
      <c r="L436" s="289">
        <f>(Y436*K436%)/G436*1000</f>
        <v>532172.7272727272</v>
      </c>
      <c r="M436" s="288">
        <v>5</v>
      </c>
      <c r="N436" s="289">
        <f>(Y436*M436%)/G436*1000</f>
        <v>350113.63636363635</v>
      </c>
      <c r="O436" s="290">
        <v>357</v>
      </c>
      <c r="P436" s="291" t="s">
        <v>433</v>
      </c>
      <c r="Q436" s="288">
        <v>1.07</v>
      </c>
      <c r="R436" s="289">
        <f>O436*dien*Q436</f>
        <v>435086.61000000004</v>
      </c>
      <c r="S436" s="292" t="s">
        <v>1239</v>
      </c>
      <c r="T436" s="296">
        <f>'Nhan cong'!M$38*2+'Nhan cong'!M$42</f>
        <v>397215</v>
      </c>
      <c r="U436" s="250">
        <f>ROUND((J436+L436+N436+R436+T436),0)</f>
        <v>3045020</v>
      </c>
      <c r="V436" s="250">
        <v>3101765</v>
      </c>
      <c r="W436" s="250">
        <v>3045020</v>
      </c>
      <c r="X436" s="250">
        <v>2961794</v>
      </c>
      <c r="Y436" s="293">
        <v>1540500</v>
      </c>
      <c r="Z436" s="294"/>
      <c r="AA436" s="251"/>
      <c r="AB436" s="251"/>
    </row>
    <row r="437" spans="1:28" s="295" customFormat="1" ht="15.75">
      <c r="A437" s="284">
        <v>364</v>
      </c>
      <c r="B437" s="284">
        <v>0</v>
      </c>
      <c r="C437" s="284" t="s">
        <v>1240</v>
      </c>
      <c r="D437" s="284" t="s">
        <v>3398</v>
      </c>
      <c r="E437" s="285" t="s">
        <v>1889</v>
      </c>
      <c r="F437" s="286" t="s">
        <v>1172</v>
      </c>
      <c r="G437" s="284">
        <v>220</v>
      </c>
      <c r="H437" s="284">
        <v>20</v>
      </c>
      <c r="I437" s="284">
        <v>0.95</v>
      </c>
      <c r="J437" s="287">
        <f>Y437*H437%*I437/G437*1000</f>
        <v>4493154.545454546</v>
      </c>
      <c r="K437" s="288">
        <v>7.6</v>
      </c>
      <c r="L437" s="289">
        <f>(Y437*K437%)/G437*1000</f>
        <v>1797261.8181818181</v>
      </c>
      <c r="M437" s="288">
        <v>5</v>
      </c>
      <c r="N437" s="289">
        <f>(Y437*M437%)/G437*1000</f>
        <v>1182409.090909091</v>
      </c>
      <c r="O437" s="290">
        <v>630</v>
      </c>
      <c r="P437" s="291" t="s">
        <v>433</v>
      </c>
      <c r="Q437" s="288">
        <v>1.07</v>
      </c>
      <c r="R437" s="289">
        <f>O437*dien*Q437</f>
        <v>767799.9</v>
      </c>
      <c r="S437" s="292" t="s">
        <v>1239</v>
      </c>
      <c r="T437" s="296">
        <f>'Nhan cong'!M$38*2+'Nhan cong'!M$42</f>
        <v>397215</v>
      </c>
      <c r="U437" s="250">
        <f>ROUND((J437+L437+N437+R437+T437),0)+1</f>
        <v>8637841</v>
      </c>
      <c r="V437" s="250">
        <v>8694585</v>
      </c>
      <c r="W437" s="250">
        <v>8637841</v>
      </c>
      <c r="X437" s="250">
        <v>8554614</v>
      </c>
      <c r="Y437" s="293">
        <v>5202600</v>
      </c>
      <c r="Z437" s="294"/>
      <c r="AA437" s="251"/>
      <c r="AB437" s="251"/>
    </row>
    <row r="438" spans="1:28" s="295" customFormat="1" ht="15.75">
      <c r="A438" s="297"/>
      <c r="B438" s="284"/>
      <c r="C438" s="298"/>
      <c r="D438" s="284"/>
      <c r="E438" s="272"/>
      <c r="F438" s="151" t="s">
        <v>1241</v>
      </c>
      <c r="G438" s="284"/>
      <c r="H438" s="284"/>
      <c r="I438" s="284"/>
      <c r="J438" s="299"/>
      <c r="K438" s="288"/>
      <c r="L438" s="289"/>
      <c r="M438" s="288"/>
      <c r="N438" s="300"/>
      <c r="O438" s="290"/>
      <c r="P438" s="291"/>
      <c r="Q438" s="288"/>
      <c r="R438" s="300"/>
      <c r="S438" s="292"/>
      <c r="T438" s="296"/>
      <c r="U438" s="250"/>
      <c r="V438" s="250"/>
      <c r="W438" s="250"/>
      <c r="X438" s="250"/>
      <c r="Y438" s="293"/>
      <c r="Z438" s="385"/>
      <c r="AA438" s="251"/>
      <c r="AB438" s="251"/>
    </row>
    <row r="439" spans="1:28" s="295" customFormat="1" ht="15.75">
      <c r="A439" s="284">
        <v>365</v>
      </c>
      <c r="B439" s="284">
        <v>0</v>
      </c>
      <c r="C439" s="284" t="s">
        <v>1242</v>
      </c>
      <c r="D439" s="284" t="s">
        <v>3399</v>
      </c>
      <c r="E439" s="285" t="s">
        <v>1890</v>
      </c>
      <c r="F439" s="286" t="s">
        <v>1243</v>
      </c>
      <c r="G439" s="284">
        <v>220</v>
      </c>
      <c r="H439" s="284">
        <v>20</v>
      </c>
      <c r="I439" s="284">
        <v>0.95</v>
      </c>
      <c r="J439" s="287">
        <f>Y439*H439%*I439/G439*1000</f>
        <v>161672.7272727273</v>
      </c>
      <c r="K439" s="288">
        <v>8.6</v>
      </c>
      <c r="L439" s="289">
        <f>(Y439*K439%)/G439*1000</f>
        <v>73178.18181818181</v>
      </c>
      <c r="M439" s="288">
        <v>5</v>
      </c>
      <c r="N439" s="289">
        <f>(Y439*M439%)/G439*1000</f>
        <v>42545.454545454544</v>
      </c>
      <c r="O439" s="290">
        <v>134.4</v>
      </c>
      <c r="P439" s="291" t="s">
        <v>433</v>
      </c>
      <c r="Q439" s="288">
        <v>1.07</v>
      </c>
      <c r="R439" s="289">
        <f>O439*dien*Q439</f>
        <v>163797.312</v>
      </c>
      <c r="S439" s="292" t="s">
        <v>1183</v>
      </c>
      <c r="T439" s="296">
        <f>'Nhan cong'!M$38+'Nhan cong'!M$42</f>
        <v>271594.6153846154</v>
      </c>
      <c r="U439" s="250">
        <f>ROUND((J439+L439+N439+R439+T439),0)+1</f>
        <v>712789</v>
      </c>
      <c r="V439" s="250">
        <v>751588</v>
      </c>
      <c r="W439" s="250">
        <v>712789</v>
      </c>
      <c r="X439" s="250">
        <v>655883</v>
      </c>
      <c r="Y439" s="293">
        <v>187200</v>
      </c>
      <c r="Z439" s="294"/>
      <c r="AA439" s="251"/>
      <c r="AB439" s="251"/>
    </row>
    <row r="440" spans="1:28" s="295" customFormat="1" ht="31.5">
      <c r="A440" s="284">
        <v>366</v>
      </c>
      <c r="B440" s="284">
        <v>0</v>
      </c>
      <c r="C440" s="284" t="s">
        <v>1244</v>
      </c>
      <c r="D440" s="284" t="s">
        <v>3400</v>
      </c>
      <c r="E440" s="285" t="s">
        <v>1891</v>
      </c>
      <c r="F440" s="286" t="s">
        <v>1245</v>
      </c>
      <c r="G440" s="284">
        <v>220</v>
      </c>
      <c r="H440" s="284">
        <v>20</v>
      </c>
      <c r="I440" s="284">
        <v>0.95</v>
      </c>
      <c r="J440" s="287">
        <f>Y440*H440%*I440/G440*1000</f>
        <v>1379831.8181818181</v>
      </c>
      <c r="K440" s="288">
        <v>8.6</v>
      </c>
      <c r="L440" s="289">
        <f>(Y440*K440%)/G440*1000</f>
        <v>624555.4545454545</v>
      </c>
      <c r="M440" s="288">
        <v>5</v>
      </c>
      <c r="N440" s="289">
        <f>(Y440*M440%)/G440*1000</f>
        <v>363113.63636363635</v>
      </c>
      <c r="O440" s="290">
        <v>840</v>
      </c>
      <c r="P440" s="291" t="s">
        <v>433</v>
      </c>
      <c r="Q440" s="288">
        <v>1.07</v>
      </c>
      <c r="R440" s="289">
        <f>O440*dien*Q440</f>
        <v>1023733.2000000001</v>
      </c>
      <c r="S440" s="292" t="s">
        <v>1246</v>
      </c>
      <c r="T440" s="296">
        <f>'Nhan cong'!M$38+'Nhan cong'!M$42*2+'Nhan cong'!M$46+'Nhan cong'!M$49</f>
        <v>786353.076923077</v>
      </c>
      <c r="U440" s="250">
        <f>ROUND((J440+L440+N440+R440+T440),0)</f>
        <v>4177587</v>
      </c>
      <c r="V440" s="250">
        <v>4289923</v>
      </c>
      <c r="W440" s="250">
        <v>4177587</v>
      </c>
      <c r="X440" s="250">
        <v>4012827</v>
      </c>
      <c r="Y440" s="293">
        <v>1597700</v>
      </c>
      <c r="Z440" s="294"/>
      <c r="AA440" s="251"/>
      <c r="AB440" s="251"/>
    </row>
    <row r="441" spans="1:28" s="295" customFormat="1" ht="33.75" customHeight="1">
      <c r="A441" s="297"/>
      <c r="B441" s="284"/>
      <c r="C441" s="298"/>
      <c r="D441" s="284"/>
      <c r="E441" s="272"/>
      <c r="F441" s="151" t="s">
        <v>1247</v>
      </c>
      <c r="G441" s="284"/>
      <c r="H441" s="284"/>
      <c r="I441" s="284"/>
      <c r="J441" s="299"/>
      <c r="K441" s="288"/>
      <c r="L441" s="289"/>
      <c r="M441" s="288"/>
      <c r="N441" s="300"/>
      <c r="O441" s="290"/>
      <c r="P441" s="291"/>
      <c r="Q441" s="288"/>
      <c r="R441" s="300"/>
      <c r="S441" s="292"/>
      <c r="T441" s="296"/>
      <c r="U441" s="250"/>
      <c r="V441" s="250"/>
      <c r="W441" s="250"/>
      <c r="X441" s="250"/>
      <c r="Y441" s="293"/>
      <c r="Z441" s="385"/>
      <c r="AA441" s="251"/>
      <c r="AB441" s="251"/>
    </row>
    <row r="442" spans="1:28" s="295" customFormat="1" ht="47.25">
      <c r="A442" s="284">
        <v>367</v>
      </c>
      <c r="B442" s="284" t="s">
        <v>706</v>
      </c>
      <c r="C442" s="284" t="s">
        <v>1248</v>
      </c>
      <c r="D442" s="284" t="s">
        <v>3401</v>
      </c>
      <c r="E442" s="285" t="s">
        <v>92</v>
      </c>
      <c r="F442" s="286" t="s">
        <v>1249</v>
      </c>
      <c r="G442" s="284">
        <v>150</v>
      </c>
      <c r="H442" s="284">
        <v>16</v>
      </c>
      <c r="I442" s="284">
        <v>0.95</v>
      </c>
      <c r="J442" s="287">
        <f aca="true" t="shared" si="117" ref="J442:J447">Y442*H442%*I442/G442*1000</f>
        <v>2904720</v>
      </c>
      <c r="K442" s="288">
        <v>5.72</v>
      </c>
      <c r="L442" s="289">
        <f aca="true" t="shared" si="118" ref="L442:L447">(Y442*K442%)/G442*1000</f>
        <v>1093091.9999999998</v>
      </c>
      <c r="M442" s="288">
        <v>5</v>
      </c>
      <c r="N442" s="289">
        <f aca="true" t="shared" si="119" ref="N442:N447">(Y442*M442%)/G442*1000</f>
        <v>955500</v>
      </c>
      <c r="O442" s="310" t="s">
        <v>1250</v>
      </c>
      <c r="P442" s="311" t="s">
        <v>1251</v>
      </c>
      <c r="Q442" s="312" t="s">
        <v>1252</v>
      </c>
      <c r="R442" s="289">
        <f>1190*mazut*1.05+210*dien*1.07+210*diezel*1.05</f>
        <v>18225476.43</v>
      </c>
      <c r="S442" s="292" t="s">
        <v>2885</v>
      </c>
      <c r="T442" s="296">
        <f>4*Nii3+4*Nii4+3*Nii5+Nii6</f>
        <v>1795960.3846153845</v>
      </c>
      <c r="U442" s="250">
        <f>ROUND((J442+L442+N442+R442+T442),0)-2</f>
        <v>24974747</v>
      </c>
      <c r="V442" s="250">
        <v>25231313</v>
      </c>
      <c r="W442" s="250">
        <v>24974747</v>
      </c>
      <c r="X442" s="250">
        <v>24598452</v>
      </c>
      <c r="Y442" s="293">
        <v>2866500</v>
      </c>
      <c r="Z442" s="294"/>
      <c r="AA442" s="251"/>
      <c r="AB442" s="251"/>
    </row>
    <row r="443" spans="1:28" s="295" customFormat="1" ht="47.25">
      <c r="A443" s="284">
        <v>368</v>
      </c>
      <c r="B443" s="284">
        <v>0</v>
      </c>
      <c r="C443" s="284" t="s">
        <v>2886</v>
      </c>
      <c r="D443" s="284" t="s">
        <v>3402</v>
      </c>
      <c r="E443" s="285" t="s">
        <v>93</v>
      </c>
      <c r="F443" s="286" t="s">
        <v>2887</v>
      </c>
      <c r="G443" s="284">
        <v>150</v>
      </c>
      <c r="H443" s="284">
        <v>16</v>
      </c>
      <c r="I443" s="284">
        <v>0.95</v>
      </c>
      <c r="J443" s="287">
        <f t="shared" si="117"/>
        <v>3485663.9999999995</v>
      </c>
      <c r="K443" s="288">
        <v>5.72</v>
      </c>
      <c r="L443" s="289">
        <f t="shared" si="118"/>
        <v>1311710.4</v>
      </c>
      <c r="M443" s="288">
        <v>5</v>
      </c>
      <c r="N443" s="289">
        <f t="shared" si="119"/>
        <v>1146600</v>
      </c>
      <c r="O443" s="310" t="s">
        <v>2888</v>
      </c>
      <c r="P443" s="311" t="s">
        <v>1251</v>
      </c>
      <c r="Q443" s="312" t="s">
        <v>1252</v>
      </c>
      <c r="R443" s="289">
        <f>1326*mazut*1.05+234*dien*1.07+234*diezel*1.05</f>
        <v>20308388.022000004</v>
      </c>
      <c r="S443" s="292" t="s">
        <v>2885</v>
      </c>
      <c r="T443" s="296">
        <f>4*Nii3+4*Nii4+3*Nii5+Nii6</f>
        <v>1795960.3846153845</v>
      </c>
      <c r="U443" s="250">
        <f>ROUND((J443+L443+N443+R443+T443),0)-2</f>
        <v>28048321</v>
      </c>
      <c r="V443" s="250">
        <v>28304888</v>
      </c>
      <c r="W443" s="250">
        <v>28048321</v>
      </c>
      <c r="X443" s="250">
        <v>27672026</v>
      </c>
      <c r="Y443" s="293">
        <v>3439800</v>
      </c>
      <c r="Z443" s="294"/>
      <c r="AA443" s="251"/>
      <c r="AB443" s="251"/>
    </row>
    <row r="444" spans="1:28" s="295" customFormat="1" ht="49.5" customHeight="1">
      <c r="A444" s="284">
        <v>369</v>
      </c>
      <c r="B444" s="284">
        <v>0</v>
      </c>
      <c r="C444" s="284" t="s">
        <v>2889</v>
      </c>
      <c r="D444" s="284"/>
      <c r="E444" s="285" t="s">
        <v>97</v>
      </c>
      <c r="F444" s="286" t="s">
        <v>2890</v>
      </c>
      <c r="G444" s="284">
        <v>150</v>
      </c>
      <c r="H444" s="284">
        <v>16</v>
      </c>
      <c r="I444" s="284">
        <v>0.95</v>
      </c>
      <c r="J444" s="287">
        <f t="shared" si="117"/>
        <v>3879951.9999999995</v>
      </c>
      <c r="K444" s="288">
        <v>5.72</v>
      </c>
      <c r="L444" s="289">
        <f t="shared" si="118"/>
        <v>1460087.2000000002</v>
      </c>
      <c r="M444" s="288">
        <v>5</v>
      </c>
      <c r="N444" s="289">
        <f t="shared" si="119"/>
        <v>1276300</v>
      </c>
      <c r="O444" s="310" t="s">
        <v>2891</v>
      </c>
      <c r="P444" s="311" t="s">
        <v>1251</v>
      </c>
      <c r="Q444" s="312" t="s">
        <v>1252</v>
      </c>
      <c r="R444" s="289">
        <f>1496*mazut*1.05+264*dien*1.07+264*diezel*1.05</f>
        <v>22912027.512000002</v>
      </c>
      <c r="S444" s="292" t="s">
        <v>2892</v>
      </c>
      <c r="T444" s="296">
        <f>5*Nii3+5*Nii4+4*Nii5+Nii6</f>
        <v>2237953.846153846</v>
      </c>
      <c r="U444" s="250">
        <f>ROUND((J444+L444+N444+R444+T444),0)</f>
        <v>31766321</v>
      </c>
      <c r="V444" s="250">
        <v>32086029</v>
      </c>
      <c r="W444" s="250">
        <v>31766321</v>
      </c>
      <c r="X444" s="250">
        <v>31297416</v>
      </c>
      <c r="Y444" s="293">
        <v>3828900</v>
      </c>
      <c r="Z444" s="294"/>
      <c r="AA444" s="251"/>
      <c r="AB444" s="251"/>
    </row>
    <row r="445" spans="1:28" s="295" customFormat="1" ht="57" customHeight="1">
      <c r="A445" s="284">
        <v>370</v>
      </c>
      <c r="B445" s="284">
        <v>0</v>
      </c>
      <c r="C445" s="284" t="s">
        <v>2893</v>
      </c>
      <c r="D445" s="284" t="s">
        <v>3403</v>
      </c>
      <c r="E445" s="285" t="s">
        <v>94</v>
      </c>
      <c r="F445" s="286" t="s">
        <v>2894</v>
      </c>
      <c r="G445" s="284">
        <v>150</v>
      </c>
      <c r="H445" s="284">
        <v>16</v>
      </c>
      <c r="I445" s="284">
        <v>0.95</v>
      </c>
      <c r="J445" s="287">
        <f t="shared" si="117"/>
        <v>4108154.6666666665</v>
      </c>
      <c r="K445" s="288">
        <v>5.72</v>
      </c>
      <c r="L445" s="289">
        <f t="shared" si="118"/>
        <v>1545963.4666666666</v>
      </c>
      <c r="M445" s="288">
        <v>5</v>
      </c>
      <c r="N445" s="289">
        <f t="shared" si="119"/>
        <v>1351366.6666666665</v>
      </c>
      <c r="O445" s="310" t="s">
        <v>2895</v>
      </c>
      <c r="P445" s="311" t="s">
        <v>1251</v>
      </c>
      <c r="Q445" s="312" t="s">
        <v>1252</v>
      </c>
      <c r="R445" s="289">
        <f>1700*mazut*1.05+300*dien*1.07+300*diezel*1.05</f>
        <v>26036394.900000002</v>
      </c>
      <c r="S445" s="292" t="s">
        <v>2892</v>
      </c>
      <c r="T445" s="296">
        <f>5*Nii3+5*Nii4+4*Nii5+Nii6</f>
        <v>2237953.846153846</v>
      </c>
      <c r="U445" s="250">
        <f>ROUND((J445+L445+N445+R445+T445),0)</f>
        <v>35279834</v>
      </c>
      <c r="V445" s="250">
        <v>35599543</v>
      </c>
      <c r="W445" s="250">
        <v>35279834</v>
      </c>
      <c r="X445" s="250">
        <v>34810929</v>
      </c>
      <c r="Y445" s="293">
        <v>4054100</v>
      </c>
      <c r="Z445" s="294"/>
      <c r="AA445" s="251"/>
      <c r="AB445" s="251"/>
    </row>
    <row r="446" spans="1:28" s="295" customFormat="1" ht="47.25">
      <c r="A446" s="284">
        <v>371</v>
      </c>
      <c r="B446" s="284">
        <v>0</v>
      </c>
      <c r="C446" s="284" t="s">
        <v>2896</v>
      </c>
      <c r="D446" s="284" t="s">
        <v>3404</v>
      </c>
      <c r="E446" s="285" t="s">
        <v>95</v>
      </c>
      <c r="F446" s="286" t="s">
        <v>2897</v>
      </c>
      <c r="G446" s="284">
        <v>150</v>
      </c>
      <c r="H446" s="284">
        <v>16</v>
      </c>
      <c r="I446" s="284">
        <v>0.95</v>
      </c>
      <c r="J446" s="287">
        <f t="shared" si="117"/>
        <v>4792864</v>
      </c>
      <c r="K446" s="288">
        <v>5.72</v>
      </c>
      <c r="L446" s="289">
        <f t="shared" si="118"/>
        <v>1803630.4</v>
      </c>
      <c r="M446" s="288">
        <v>5</v>
      </c>
      <c r="N446" s="289">
        <f t="shared" si="119"/>
        <v>1576600</v>
      </c>
      <c r="O446" s="310" t="s">
        <v>2898</v>
      </c>
      <c r="P446" s="311" t="s">
        <v>1251</v>
      </c>
      <c r="Q446" s="312" t="s">
        <v>1252</v>
      </c>
      <c r="R446" s="289">
        <f>1836*mazut*1.05+324*dien*1.07+324*diezel*1.05</f>
        <v>28119306.492000002</v>
      </c>
      <c r="S446" s="292" t="s">
        <v>2892</v>
      </c>
      <c r="T446" s="296">
        <f>5*Nii3+5*Nii4+4*Nii5+Nii6</f>
        <v>2237953.846153846</v>
      </c>
      <c r="U446" s="250">
        <f>ROUND((J446+L446+N446+R446+T446),0)-1</f>
        <v>38530354</v>
      </c>
      <c r="V446" s="250">
        <v>38850063</v>
      </c>
      <c r="W446" s="250">
        <v>38530354</v>
      </c>
      <c r="X446" s="250">
        <v>38061450</v>
      </c>
      <c r="Y446" s="293">
        <v>4729800</v>
      </c>
      <c r="Z446" s="294"/>
      <c r="AA446" s="251"/>
      <c r="AB446" s="251"/>
    </row>
    <row r="447" spans="1:28" s="295" customFormat="1" ht="47.25">
      <c r="A447" s="284">
        <v>372</v>
      </c>
      <c r="B447" s="284" t="s">
        <v>711</v>
      </c>
      <c r="C447" s="284" t="s">
        <v>2899</v>
      </c>
      <c r="D447" s="284" t="s">
        <v>3405</v>
      </c>
      <c r="E447" s="285" t="s">
        <v>96</v>
      </c>
      <c r="F447" s="286" t="s">
        <v>2900</v>
      </c>
      <c r="G447" s="284">
        <v>150</v>
      </c>
      <c r="H447" s="284">
        <v>13</v>
      </c>
      <c r="I447" s="284">
        <v>0.95</v>
      </c>
      <c r="J447" s="287">
        <f t="shared" si="117"/>
        <v>4376593</v>
      </c>
      <c r="K447" s="288">
        <v>5.46</v>
      </c>
      <c r="L447" s="289">
        <f t="shared" si="118"/>
        <v>1934914.8000000003</v>
      </c>
      <c r="M447" s="288">
        <v>5</v>
      </c>
      <c r="N447" s="289">
        <f t="shared" si="119"/>
        <v>1771900</v>
      </c>
      <c r="O447" s="310" t="s">
        <v>2901</v>
      </c>
      <c r="P447" s="311" t="s">
        <v>1251</v>
      </c>
      <c r="Q447" s="312" t="s">
        <v>1252</v>
      </c>
      <c r="R447" s="289">
        <f>2176*mazut*1.05+384*dien*1.07+384*diezel*1.05</f>
        <v>33326585.472000003</v>
      </c>
      <c r="S447" s="292" t="s">
        <v>2892</v>
      </c>
      <c r="T447" s="296">
        <f>5*Nii3+5*Nii4+4*Nii5+Nii6</f>
        <v>2237953.846153846</v>
      </c>
      <c r="U447" s="250">
        <f>ROUND((J447+L447+N447+R447+T447),0)</f>
        <v>43647947</v>
      </c>
      <c r="V447" s="250">
        <v>43967656</v>
      </c>
      <c r="W447" s="250">
        <v>43647947</v>
      </c>
      <c r="X447" s="250">
        <v>43179042</v>
      </c>
      <c r="Y447" s="293">
        <v>5315700</v>
      </c>
      <c r="Z447" s="294"/>
      <c r="AA447" s="251"/>
      <c r="AB447" s="251"/>
    </row>
    <row r="448" spans="1:28" s="295" customFormat="1" ht="15.75">
      <c r="A448" s="297"/>
      <c r="B448" s="284"/>
      <c r="C448" s="298"/>
      <c r="D448" s="284"/>
      <c r="E448" s="272"/>
      <c r="F448" s="151" t="s">
        <v>2902</v>
      </c>
      <c r="G448" s="284"/>
      <c r="H448" s="284"/>
      <c r="I448" s="284"/>
      <c r="J448" s="299"/>
      <c r="K448" s="288"/>
      <c r="L448" s="289"/>
      <c r="M448" s="288"/>
      <c r="N448" s="300"/>
      <c r="O448" s="310"/>
      <c r="P448" s="313"/>
      <c r="Q448" s="288"/>
      <c r="R448" s="314"/>
      <c r="S448" s="292"/>
      <c r="T448" s="296"/>
      <c r="U448" s="250"/>
      <c r="V448" s="250"/>
      <c r="W448" s="250"/>
      <c r="X448" s="250"/>
      <c r="Y448" s="293"/>
      <c r="Z448" s="385"/>
      <c r="AA448" s="251"/>
      <c r="AB448" s="251"/>
    </row>
    <row r="449" spans="1:28" s="295" customFormat="1" ht="31.5">
      <c r="A449" s="284">
        <v>373</v>
      </c>
      <c r="B449" s="284" t="s">
        <v>636</v>
      </c>
      <c r="C449" s="284" t="s">
        <v>2903</v>
      </c>
      <c r="D449" s="284" t="s">
        <v>3406</v>
      </c>
      <c r="E449" s="285" t="s">
        <v>1892</v>
      </c>
      <c r="F449" s="286" t="s">
        <v>2904</v>
      </c>
      <c r="G449" s="284">
        <v>120</v>
      </c>
      <c r="H449" s="284">
        <v>14</v>
      </c>
      <c r="I449" s="284">
        <v>0.95</v>
      </c>
      <c r="J449" s="287">
        <f>Y449*H449%*I449/G449*1000</f>
        <v>899190.8333333335</v>
      </c>
      <c r="K449" s="288">
        <v>5.6</v>
      </c>
      <c r="L449" s="289">
        <f>(Y449*K449%)/G449*1000</f>
        <v>378606.6666666666</v>
      </c>
      <c r="M449" s="288">
        <v>6</v>
      </c>
      <c r="N449" s="289">
        <f>(Y449*M449%)/G449*1000</f>
        <v>405650</v>
      </c>
      <c r="O449" s="290">
        <v>57</v>
      </c>
      <c r="P449" s="291" t="s">
        <v>1590</v>
      </c>
      <c r="Q449" s="288">
        <v>1.05</v>
      </c>
      <c r="R449" s="289">
        <f>O449*diezel*Q449</f>
        <v>1148031.9270000001</v>
      </c>
      <c r="S449" s="292" t="s">
        <v>2905</v>
      </c>
      <c r="T449" s="289">
        <f>'Nhan cong'!M92+'Nhan cong'!M94</f>
        <v>318917.3076923077</v>
      </c>
      <c r="U449" s="250">
        <f>ROUND((J449+L449+N449+R449+T449),0)-1</f>
        <v>3150396</v>
      </c>
      <c r="V449" s="250">
        <v>3195956</v>
      </c>
      <c r="W449" s="250">
        <v>3150396</v>
      </c>
      <c r="X449" s="250">
        <v>3083576</v>
      </c>
      <c r="Y449" s="293">
        <v>811300</v>
      </c>
      <c r="Z449" s="294"/>
      <c r="AA449" s="251"/>
      <c r="AB449" s="251"/>
    </row>
    <row r="450" spans="1:28" s="295" customFormat="1" ht="15.75">
      <c r="A450" s="297"/>
      <c r="B450" s="284"/>
      <c r="C450" s="298"/>
      <c r="D450" s="284"/>
      <c r="E450" s="272"/>
      <c r="F450" s="151" t="s">
        <v>2906</v>
      </c>
      <c r="G450" s="284"/>
      <c r="H450" s="284"/>
      <c r="I450" s="284"/>
      <c r="J450" s="299"/>
      <c r="K450" s="288"/>
      <c r="L450" s="289"/>
      <c r="M450" s="288"/>
      <c r="N450" s="300"/>
      <c r="O450" s="290"/>
      <c r="P450" s="291"/>
      <c r="Q450" s="288"/>
      <c r="R450" s="300"/>
      <c r="S450" s="292"/>
      <c r="T450" s="289"/>
      <c r="U450" s="250"/>
      <c r="V450" s="250"/>
      <c r="W450" s="250"/>
      <c r="X450" s="250"/>
      <c r="Y450" s="293"/>
      <c r="Z450" s="385"/>
      <c r="AA450" s="251"/>
      <c r="AB450" s="251"/>
    </row>
    <row r="451" spans="1:28" s="295" customFormat="1" ht="15.75">
      <c r="A451" s="284">
        <v>374</v>
      </c>
      <c r="B451" s="284">
        <v>0</v>
      </c>
      <c r="C451" s="284" t="s">
        <v>2907</v>
      </c>
      <c r="D451" s="284" t="s">
        <v>3407</v>
      </c>
      <c r="E451" s="285" t="s">
        <v>1893</v>
      </c>
      <c r="F451" s="286" t="s">
        <v>2908</v>
      </c>
      <c r="G451" s="284">
        <v>150</v>
      </c>
      <c r="H451" s="284">
        <v>16</v>
      </c>
      <c r="I451" s="284">
        <v>0.95</v>
      </c>
      <c r="J451" s="287">
        <f>Y451*H451%*I451/G451*1000</f>
        <v>1135642.6666666665</v>
      </c>
      <c r="K451" s="288">
        <v>6.4</v>
      </c>
      <c r="L451" s="289">
        <f>(Y451*K451%)/G451*1000</f>
        <v>478165.3333333334</v>
      </c>
      <c r="M451" s="288">
        <v>5</v>
      </c>
      <c r="N451" s="289">
        <f>(Y451*M451%)/G451*1000</f>
        <v>373566.6666666667</v>
      </c>
      <c r="O451" s="290">
        <v>33.6</v>
      </c>
      <c r="P451" s="291" t="s">
        <v>1590</v>
      </c>
      <c r="Q451" s="288">
        <v>1.05</v>
      </c>
      <c r="R451" s="289">
        <f>O451*diezel*Q451</f>
        <v>676734.6096000001</v>
      </c>
      <c r="S451" s="292" t="s">
        <v>1600</v>
      </c>
      <c r="T451" s="296">
        <f>'Nhan cong'!M$38+'Nhan cong'!M$46</f>
        <v>296019.23076923075</v>
      </c>
      <c r="U451" s="250">
        <f>ROUND((J451+L451+N451+R451+T451),0)-1</f>
        <v>2960128</v>
      </c>
      <c r="V451" s="250">
        <v>3002417</v>
      </c>
      <c r="W451" s="250">
        <v>2960128</v>
      </c>
      <c r="X451" s="250">
        <v>2898105</v>
      </c>
      <c r="Y451" s="293">
        <v>1120700</v>
      </c>
      <c r="Z451" s="294"/>
      <c r="AA451" s="251"/>
      <c r="AB451" s="251"/>
    </row>
    <row r="452" spans="1:28" s="295" customFormat="1" ht="15.75">
      <c r="A452" s="284">
        <v>375</v>
      </c>
      <c r="B452" s="284">
        <v>0</v>
      </c>
      <c r="C452" s="284" t="s">
        <v>2909</v>
      </c>
      <c r="D452" s="284" t="s">
        <v>3408</v>
      </c>
      <c r="E452" s="285" t="s">
        <v>1894</v>
      </c>
      <c r="F452" s="286" t="s">
        <v>2910</v>
      </c>
      <c r="G452" s="284">
        <v>150</v>
      </c>
      <c r="H452" s="284">
        <v>16</v>
      </c>
      <c r="I452" s="284">
        <v>0.95</v>
      </c>
      <c r="J452" s="287">
        <f>Y452*H452%*I452/G452*1000</f>
        <v>1343984</v>
      </c>
      <c r="K452" s="288">
        <v>6.4</v>
      </c>
      <c r="L452" s="289">
        <f>(Y452*K452%)/G452*1000</f>
        <v>565888</v>
      </c>
      <c r="M452" s="288">
        <v>5</v>
      </c>
      <c r="N452" s="289">
        <f>(Y452*M452%)/G452*1000</f>
        <v>442100</v>
      </c>
      <c r="O452" s="290">
        <v>50.4</v>
      </c>
      <c r="P452" s="291" t="s">
        <v>1590</v>
      </c>
      <c r="Q452" s="288">
        <v>1.05</v>
      </c>
      <c r="R452" s="289">
        <f>O452*diezel*Q452</f>
        <v>1015101.9144</v>
      </c>
      <c r="S452" s="292" t="s">
        <v>1600</v>
      </c>
      <c r="T452" s="296">
        <f>'Nhan cong'!M$38+'Nhan cong'!M$46</f>
        <v>296019.23076923075</v>
      </c>
      <c r="U452" s="250">
        <f>ROUND((J452+L452+N452+R452+T452),0)-1</f>
        <v>3663092</v>
      </c>
      <c r="V452" s="250">
        <v>3705382</v>
      </c>
      <c r="W452" s="250">
        <v>3663092</v>
      </c>
      <c r="X452" s="250">
        <v>3601070</v>
      </c>
      <c r="Y452" s="293">
        <v>1326300</v>
      </c>
      <c r="Z452" s="294"/>
      <c r="AA452" s="251"/>
      <c r="AB452" s="251"/>
    </row>
    <row r="453" spans="1:28" s="295" customFormat="1" ht="31.5">
      <c r="A453" s="297">
        <v>376</v>
      </c>
      <c r="B453" s="284" t="s">
        <v>638</v>
      </c>
      <c r="C453" s="298" t="s">
        <v>2911</v>
      </c>
      <c r="D453" s="284" t="s">
        <v>3409</v>
      </c>
      <c r="E453" s="285" t="s">
        <v>3161</v>
      </c>
      <c r="F453" s="286" t="s">
        <v>2912</v>
      </c>
      <c r="G453" s="284">
        <v>150</v>
      </c>
      <c r="H453" s="284">
        <v>16</v>
      </c>
      <c r="I453" s="284">
        <v>0.95</v>
      </c>
      <c r="J453" s="287">
        <f>Y453*H453%*I453/G453*1000</f>
        <v>2643887.9999999995</v>
      </c>
      <c r="K453" s="288">
        <v>3.8</v>
      </c>
      <c r="L453" s="289">
        <f>(Y453*K453%)/G453*1000</f>
        <v>660972</v>
      </c>
      <c r="M453" s="288">
        <v>5</v>
      </c>
      <c r="N453" s="289">
        <f>(Y453*M453%)/G453*1000</f>
        <v>869700</v>
      </c>
      <c r="O453" s="290">
        <v>63</v>
      </c>
      <c r="P453" s="291" t="s">
        <v>1590</v>
      </c>
      <c r="Q453" s="288">
        <v>1.05</v>
      </c>
      <c r="R453" s="289">
        <f>O453*diezel*Q453</f>
        <v>1268877.393</v>
      </c>
      <c r="S453" s="292" t="s">
        <v>1600</v>
      </c>
      <c r="T453" s="296">
        <f>Nii3+Nii5</f>
        <v>296019.23076923075</v>
      </c>
      <c r="U453" s="250">
        <f>ROUND((J453+L453+N453+R453+T453),0)-1</f>
        <v>5739456</v>
      </c>
      <c r="V453" s="250">
        <v>5781745</v>
      </c>
      <c r="W453" s="250">
        <v>5739456</v>
      </c>
      <c r="X453" s="250">
        <v>5677433</v>
      </c>
      <c r="Y453" s="293">
        <v>2609100</v>
      </c>
      <c r="Z453" s="385"/>
      <c r="AA453" s="251"/>
      <c r="AB453" s="251"/>
    </row>
    <row r="454" spans="1:28" s="295" customFormat="1" ht="15.75">
      <c r="A454" s="297"/>
      <c r="B454" s="284"/>
      <c r="C454" s="298"/>
      <c r="D454" s="284"/>
      <c r="E454" s="272"/>
      <c r="F454" s="151" t="s">
        <v>2913</v>
      </c>
      <c r="G454" s="284"/>
      <c r="H454" s="284"/>
      <c r="I454" s="284"/>
      <c r="J454" s="299"/>
      <c r="K454" s="288"/>
      <c r="L454" s="289"/>
      <c r="M454" s="288"/>
      <c r="N454" s="300"/>
      <c r="O454" s="290"/>
      <c r="P454" s="291"/>
      <c r="Q454" s="288"/>
      <c r="R454" s="300"/>
      <c r="S454" s="292"/>
      <c r="T454" s="296"/>
      <c r="U454" s="250"/>
      <c r="V454" s="250"/>
      <c r="W454" s="250"/>
      <c r="X454" s="250"/>
      <c r="Y454" s="293"/>
      <c r="Z454" s="385"/>
      <c r="AA454" s="251"/>
      <c r="AB454" s="251"/>
    </row>
    <row r="455" spans="1:28" s="295" customFormat="1" ht="15.75">
      <c r="A455" s="284">
        <v>377</v>
      </c>
      <c r="B455" s="284" t="s">
        <v>639</v>
      </c>
      <c r="C455" s="284" t="s">
        <v>2914</v>
      </c>
      <c r="D455" s="284" t="s">
        <v>3410</v>
      </c>
      <c r="E455" s="285" t="s">
        <v>98</v>
      </c>
      <c r="F455" s="286" t="s">
        <v>2915</v>
      </c>
      <c r="G455" s="284">
        <v>150</v>
      </c>
      <c r="H455" s="284">
        <v>16</v>
      </c>
      <c r="I455" s="284">
        <v>0.95</v>
      </c>
      <c r="J455" s="287">
        <f aca="true" t="shared" si="120" ref="J455:J460">Y455*H455%*I455/G455*1000</f>
        <v>1806063.9999999998</v>
      </c>
      <c r="K455" s="288">
        <v>4.2</v>
      </c>
      <c r="L455" s="289">
        <f aca="true" t="shared" si="121" ref="L455:L460">(Y455*K455%)/G455*1000</f>
        <v>499044.00000000006</v>
      </c>
      <c r="M455" s="288">
        <v>5</v>
      </c>
      <c r="N455" s="289">
        <f aca="true" t="shared" si="122" ref="N455:N460">(Y455*M455%)/G455*1000</f>
        <v>594100</v>
      </c>
      <c r="O455" s="290">
        <v>30.2</v>
      </c>
      <c r="P455" s="291" t="s">
        <v>1590</v>
      </c>
      <c r="Q455" s="288">
        <v>1.05</v>
      </c>
      <c r="R455" s="289">
        <f>O455*diezel*Q455</f>
        <v>608255.5122</v>
      </c>
      <c r="S455" s="315" t="s">
        <v>1600</v>
      </c>
      <c r="T455" s="296">
        <f>'Nhan cong'!M$38+'Nhan cong'!M$46</f>
        <v>296019.23076923075</v>
      </c>
      <c r="U455" s="250">
        <f>ROUND((J455+L455+N455+R455+T455),0)-1</f>
        <v>3803482</v>
      </c>
      <c r="V455" s="250">
        <v>3845771</v>
      </c>
      <c r="W455" s="250">
        <v>3803482</v>
      </c>
      <c r="X455" s="250">
        <v>3741459</v>
      </c>
      <c r="Y455" s="293">
        <v>1782300</v>
      </c>
      <c r="Z455" s="294"/>
      <c r="AA455" s="251"/>
      <c r="AB455" s="251"/>
    </row>
    <row r="456" spans="1:28" s="295" customFormat="1" ht="47.25">
      <c r="A456" s="284">
        <v>378</v>
      </c>
      <c r="B456" s="284" t="s">
        <v>3830</v>
      </c>
      <c r="C456" s="284" t="s">
        <v>2916</v>
      </c>
      <c r="D456" s="284" t="s">
        <v>3411</v>
      </c>
      <c r="E456" s="285" t="s">
        <v>1895</v>
      </c>
      <c r="F456" s="286" t="s">
        <v>2917</v>
      </c>
      <c r="G456" s="284">
        <v>220</v>
      </c>
      <c r="H456" s="284">
        <v>18</v>
      </c>
      <c r="I456" s="284">
        <v>0.95</v>
      </c>
      <c r="J456" s="287">
        <f t="shared" si="120"/>
        <v>2121021.8181818184</v>
      </c>
      <c r="K456" s="288">
        <v>5.8</v>
      </c>
      <c r="L456" s="289">
        <f t="shared" si="121"/>
        <v>719410.9090909091</v>
      </c>
      <c r="M456" s="288">
        <v>5</v>
      </c>
      <c r="N456" s="289">
        <f t="shared" si="122"/>
        <v>620181.8181818181</v>
      </c>
      <c r="O456" s="290">
        <v>92.4</v>
      </c>
      <c r="P456" s="291" t="s">
        <v>1590</v>
      </c>
      <c r="Q456" s="288">
        <v>1.05</v>
      </c>
      <c r="R456" s="289">
        <f>O456*diezel*Q456</f>
        <v>1861020.1764000002</v>
      </c>
      <c r="S456" s="292" t="s">
        <v>230</v>
      </c>
      <c r="T456" s="296">
        <f>'Nhan cong'!M$42+'Nhan cong'!M$46</f>
        <v>316373.07692307694</v>
      </c>
      <c r="U456" s="250">
        <f>ROUND((J456+L456+N456+R456+T456),0)-1</f>
        <v>5638007</v>
      </c>
      <c r="V456" s="250">
        <v>5683203</v>
      </c>
      <c r="W456" s="250">
        <v>5638007</v>
      </c>
      <c r="X456" s="250">
        <v>5571720</v>
      </c>
      <c r="Y456" s="293">
        <v>2728800</v>
      </c>
      <c r="Z456" s="294"/>
      <c r="AA456" s="251"/>
      <c r="AB456" s="251"/>
    </row>
    <row r="457" spans="1:28" s="295" customFormat="1" ht="31.5">
      <c r="A457" s="284">
        <v>379</v>
      </c>
      <c r="B457" s="284" t="s">
        <v>696</v>
      </c>
      <c r="C457" s="284" t="s">
        <v>2918</v>
      </c>
      <c r="D457" s="284" t="s">
        <v>3412</v>
      </c>
      <c r="E457" s="285" t="s">
        <v>1896</v>
      </c>
      <c r="F457" s="286" t="s">
        <v>2919</v>
      </c>
      <c r="G457" s="284">
        <v>170</v>
      </c>
      <c r="H457" s="284">
        <v>20</v>
      </c>
      <c r="I457" s="284">
        <v>0.95</v>
      </c>
      <c r="J457" s="287">
        <f t="shared" si="120"/>
        <v>55770.58823529412</v>
      </c>
      <c r="K457" s="288">
        <v>3.5</v>
      </c>
      <c r="L457" s="289">
        <f t="shared" si="121"/>
        <v>10273.529411764708</v>
      </c>
      <c r="M457" s="288">
        <v>5</v>
      </c>
      <c r="N457" s="289">
        <f t="shared" si="122"/>
        <v>14676.470588235294</v>
      </c>
      <c r="O457" s="290"/>
      <c r="P457" s="291"/>
      <c r="Q457" s="288">
        <v>1.05</v>
      </c>
      <c r="R457" s="300"/>
      <c r="S457" s="292" t="s">
        <v>1591</v>
      </c>
      <c r="T457" s="289">
        <f>'Nhan cong'!$M$42</f>
        <v>145974.23076923078</v>
      </c>
      <c r="U457" s="250">
        <f>ROUND((J457+L457+N457+R457+T457),0)</f>
        <v>226695</v>
      </c>
      <c r="V457" s="250">
        <v>247549</v>
      </c>
      <c r="W457" s="250">
        <v>226695</v>
      </c>
      <c r="X457" s="250">
        <v>196110</v>
      </c>
      <c r="Y457" s="293">
        <v>49900</v>
      </c>
      <c r="Z457" s="294"/>
      <c r="AA457" s="251"/>
      <c r="AB457" s="251"/>
    </row>
    <row r="458" spans="1:28" s="295" customFormat="1" ht="31.5">
      <c r="A458" s="284">
        <v>380</v>
      </c>
      <c r="B458" s="284" t="s">
        <v>3819</v>
      </c>
      <c r="C458" s="284" t="s">
        <v>2920</v>
      </c>
      <c r="D458" s="284" t="s">
        <v>3413</v>
      </c>
      <c r="E458" s="285" t="s">
        <v>99</v>
      </c>
      <c r="F458" s="286" t="s">
        <v>2921</v>
      </c>
      <c r="G458" s="284">
        <v>170</v>
      </c>
      <c r="H458" s="284">
        <v>17</v>
      </c>
      <c r="I458" s="284">
        <v>0.95</v>
      </c>
      <c r="J458" s="287">
        <f t="shared" si="120"/>
        <v>269230</v>
      </c>
      <c r="K458" s="288">
        <v>3.56</v>
      </c>
      <c r="L458" s="289">
        <f t="shared" si="121"/>
        <v>59347.294117647056</v>
      </c>
      <c r="M458" s="288">
        <v>5</v>
      </c>
      <c r="N458" s="289">
        <f t="shared" si="122"/>
        <v>83352.94117647059</v>
      </c>
      <c r="O458" s="290">
        <v>10.5389221556886</v>
      </c>
      <c r="P458" s="291" t="s">
        <v>1590</v>
      </c>
      <c r="Q458" s="288">
        <v>1.05</v>
      </c>
      <c r="R458" s="289">
        <f>O458*diezel*Q458</f>
        <v>212263.4931736522</v>
      </c>
      <c r="S458" s="292" t="s">
        <v>1591</v>
      </c>
      <c r="T458" s="289">
        <f>'Nhan cong'!$M$42</f>
        <v>145974.23076923078</v>
      </c>
      <c r="U458" s="250">
        <f>ROUND((J458+L458+N458+R458+T458),0)+21</f>
        <v>770189</v>
      </c>
      <c r="V458" s="250">
        <v>791043</v>
      </c>
      <c r="W458" s="250">
        <v>770189</v>
      </c>
      <c r="X458" s="250">
        <v>739604</v>
      </c>
      <c r="Y458" s="293">
        <v>283400</v>
      </c>
      <c r="AA458" s="283"/>
      <c r="AB458" s="251"/>
    </row>
    <row r="459" spans="1:28" s="295" customFormat="1" ht="31.5">
      <c r="A459" s="284">
        <v>381</v>
      </c>
      <c r="B459" s="284" t="s">
        <v>694</v>
      </c>
      <c r="C459" s="284" t="s">
        <v>2922</v>
      </c>
      <c r="D459" s="284"/>
      <c r="E459" s="285" t="s">
        <v>2923</v>
      </c>
      <c r="F459" s="286" t="s">
        <v>2923</v>
      </c>
      <c r="G459" s="284">
        <v>170</v>
      </c>
      <c r="H459" s="284">
        <v>17</v>
      </c>
      <c r="I459" s="284">
        <v>0.95</v>
      </c>
      <c r="J459" s="287">
        <f t="shared" si="120"/>
        <v>28310</v>
      </c>
      <c r="K459" s="288">
        <v>4.5</v>
      </c>
      <c r="L459" s="289">
        <f t="shared" si="121"/>
        <v>7888.235294117648</v>
      </c>
      <c r="M459" s="288">
        <v>5</v>
      </c>
      <c r="N459" s="289">
        <f t="shared" si="122"/>
        <v>8764.705882352942</v>
      </c>
      <c r="O459" s="290">
        <v>3.7</v>
      </c>
      <c r="P459" s="291" t="s">
        <v>294</v>
      </c>
      <c r="Q459" s="288">
        <v>1.03</v>
      </c>
      <c r="R459" s="289">
        <f>O459*xang*Q459</f>
        <v>73794.83204000001</v>
      </c>
      <c r="S459" s="292" t="s">
        <v>1591</v>
      </c>
      <c r="T459" s="289">
        <f>Nii4</f>
        <v>145974.23076923078</v>
      </c>
      <c r="U459" s="250">
        <f>ROUND((J459+L459+N459+R459+T459),0)</f>
        <v>264732</v>
      </c>
      <c r="V459" s="250">
        <v>285586</v>
      </c>
      <c r="W459" s="250">
        <v>264732</v>
      </c>
      <c r="X459" s="250">
        <v>234147</v>
      </c>
      <c r="Y459" s="293">
        <v>29800</v>
      </c>
      <c r="Z459" s="294"/>
      <c r="AA459" s="251"/>
      <c r="AB459" s="251"/>
    </row>
    <row r="460" spans="1:28" s="295" customFormat="1" ht="31.5">
      <c r="A460" s="284">
        <v>382</v>
      </c>
      <c r="B460" s="284" t="s">
        <v>695</v>
      </c>
      <c r="C460" s="284" t="s">
        <v>2924</v>
      </c>
      <c r="D460" s="284" t="s">
        <v>3414</v>
      </c>
      <c r="E460" s="285" t="s">
        <v>1897</v>
      </c>
      <c r="F460" s="286" t="s">
        <v>2925</v>
      </c>
      <c r="G460" s="284">
        <v>170</v>
      </c>
      <c r="H460" s="284">
        <v>25</v>
      </c>
      <c r="I460" s="284">
        <v>0.95</v>
      </c>
      <c r="J460" s="287">
        <f t="shared" si="120"/>
        <v>55463.23529411764</v>
      </c>
      <c r="K460" s="288">
        <v>10</v>
      </c>
      <c r="L460" s="289">
        <f t="shared" si="121"/>
        <v>23352.941176470587</v>
      </c>
      <c r="M460" s="288">
        <v>5</v>
      </c>
      <c r="N460" s="289">
        <f t="shared" si="122"/>
        <v>11676.470588235294</v>
      </c>
      <c r="O460" s="290"/>
      <c r="P460" s="291"/>
      <c r="Q460" s="288"/>
      <c r="R460" s="300"/>
      <c r="S460" s="292" t="s">
        <v>1591</v>
      </c>
      <c r="T460" s="289">
        <f>'Nhan cong'!$M$42</f>
        <v>145974.23076923078</v>
      </c>
      <c r="U460" s="250">
        <f>ROUND((J460+L460+N460+R460+T460),0)</f>
        <v>236467</v>
      </c>
      <c r="V460" s="250">
        <v>257321</v>
      </c>
      <c r="W460" s="250">
        <v>236467</v>
      </c>
      <c r="X460" s="250">
        <v>205882</v>
      </c>
      <c r="Y460" s="293">
        <v>39700</v>
      </c>
      <c r="Z460" s="294"/>
      <c r="AA460" s="251"/>
      <c r="AB460" s="251"/>
    </row>
    <row r="461" spans="1:28" s="295" customFormat="1" ht="15.75">
      <c r="A461" s="297"/>
      <c r="B461" s="284"/>
      <c r="C461" s="298"/>
      <c r="D461" s="284"/>
      <c r="E461" s="272"/>
      <c r="F461" s="151" t="s">
        <v>2926</v>
      </c>
      <c r="G461" s="284"/>
      <c r="H461" s="284"/>
      <c r="I461" s="284"/>
      <c r="J461" s="299"/>
      <c r="K461" s="288"/>
      <c r="L461" s="289"/>
      <c r="M461" s="288"/>
      <c r="N461" s="300"/>
      <c r="O461" s="290"/>
      <c r="P461" s="291"/>
      <c r="Q461" s="288"/>
      <c r="R461" s="300"/>
      <c r="S461" s="292"/>
      <c r="T461" s="289"/>
      <c r="U461" s="250"/>
      <c r="V461" s="250"/>
      <c r="W461" s="250"/>
      <c r="X461" s="250"/>
      <c r="Y461" s="293"/>
      <c r="Z461" s="385"/>
      <c r="AA461" s="251"/>
      <c r="AB461" s="251"/>
    </row>
    <row r="462" spans="1:28" s="295" customFormat="1" ht="15.75">
      <c r="A462" s="284">
        <v>383</v>
      </c>
      <c r="B462" s="284">
        <v>0</v>
      </c>
      <c r="C462" s="284" t="s">
        <v>2927</v>
      </c>
      <c r="D462" s="284" t="s">
        <v>3415</v>
      </c>
      <c r="E462" s="285" t="s">
        <v>1898</v>
      </c>
      <c r="F462" s="286" t="s">
        <v>2928</v>
      </c>
      <c r="G462" s="284">
        <v>150</v>
      </c>
      <c r="H462" s="284">
        <v>17</v>
      </c>
      <c r="I462" s="284">
        <v>1</v>
      </c>
      <c r="J462" s="287">
        <f aca="true" t="shared" si="123" ref="J462:J483">Y462*H462%*I462/G462*1000</f>
        <v>1473.3333333333337</v>
      </c>
      <c r="K462" s="301">
        <v>5</v>
      </c>
      <c r="L462" s="289">
        <f aca="true" t="shared" si="124" ref="L462:L483">(Y462*K462%)/G462*1000</f>
        <v>433.33333333333337</v>
      </c>
      <c r="M462" s="301">
        <v>5</v>
      </c>
      <c r="N462" s="289">
        <f aca="true" t="shared" si="125" ref="N462:N483">(Y462*M462%)/G462*1000</f>
        <v>433.33333333333337</v>
      </c>
      <c r="O462" s="302">
        <v>1.3</v>
      </c>
      <c r="P462" s="272" t="s">
        <v>433</v>
      </c>
      <c r="Q462" s="288">
        <v>1.07</v>
      </c>
      <c r="R462" s="289">
        <f aca="true" t="shared" si="126" ref="R462:R483">O462*dien*Q462</f>
        <v>1584.3490000000002</v>
      </c>
      <c r="S462" s="284" t="s">
        <v>295</v>
      </c>
      <c r="T462" s="296">
        <f>Nii3</f>
        <v>125620.38461538461</v>
      </c>
      <c r="U462" s="250">
        <f>ROUND((J462+L462+N462+R462+T462),0)-2</f>
        <v>129543</v>
      </c>
      <c r="V462" s="250">
        <v>147490</v>
      </c>
      <c r="W462" s="250">
        <v>129543</v>
      </c>
      <c r="X462" s="250">
        <v>103224</v>
      </c>
      <c r="Y462" s="293">
        <v>1300</v>
      </c>
      <c r="Z462" s="294"/>
      <c r="AA462" s="251"/>
      <c r="AB462" s="251"/>
    </row>
    <row r="463" spans="1:28" s="295" customFormat="1" ht="15.75">
      <c r="A463" s="284">
        <v>384</v>
      </c>
      <c r="B463" s="284">
        <v>0</v>
      </c>
      <c r="C463" s="284" t="s">
        <v>2929</v>
      </c>
      <c r="D463" s="284" t="s">
        <v>3416</v>
      </c>
      <c r="E463" s="285" t="s">
        <v>100</v>
      </c>
      <c r="F463" s="286" t="s">
        <v>2930</v>
      </c>
      <c r="G463" s="284">
        <v>180</v>
      </c>
      <c r="H463" s="284">
        <v>17</v>
      </c>
      <c r="I463" s="284">
        <v>1</v>
      </c>
      <c r="J463" s="287">
        <f t="shared" si="123"/>
        <v>2077.777777777778</v>
      </c>
      <c r="K463" s="288">
        <v>4.74</v>
      </c>
      <c r="L463" s="289">
        <f t="shared" si="124"/>
        <v>579.3333333333334</v>
      </c>
      <c r="M463" s="288">
        <v>5</v>
      </c>
      <c r="N463" s="289">
        <f t="shared" si="125"/>
        <v>611.1111111111112</v>
      </c>
      <c r="O463" s="290">
        <v>1.485</v>
      </c>
      <c r="P463" s="291" t="s">
        <v>433</v>
      </c>
      <c r="Q463" s="288">
        <v>1.07</v>
      </c>
      <c r="R463" s="289">
        <f t="shared" si="126"/>
        <v>1809.8140500000004</v>
      </c>
      <c r="S463" s="292" t="s">
        <v>295</v>
      </c>
      <c r="T463" s="296">
        <f>'Nhan cong'!M$38</f>
        <v>125620.38461538461</v>
      </c>
      <c r="U463" s="250">
        <f>ROUND((J463+L463+N463+R463+T463),0)+6</f>
        <v>130704</v>
      </c>
      <c r="V463" s="250">
        <v>148650</v>
      </c>
      <c r="W463" s="250">
        <v>130704</v>
      </c>
      <c r="X463" s="250">
        <v>104384</v>
      </c>
      <c r="Y463" s="293">
        <v>2200</v>
      </c>
      <c r="Z463" s="294"/>
      <c r="AA463" s="251"/>
      <c r="AB463" s="251"/>
    </row>
    <row r="464" spans="1:28" s="295" customFormat="1" ht="15.75">
      <c r="A464" s="284">
        <v>385</v>
      </c>
      <c r="B464" s="284">
        <v>0</v>
      </c>
      <c r="C464" s="284" t="s">
        <v>2931</v>
      </c>
      <c r="D464" s="284" t="s">
        <v>3417</v>
      </c>
      <c r="E464" s="285" t="s">
        <v>101</v>
      </c>
      <c r="F464" s="286" t="s">
        <v>2932</v>
      </c>
      <c r="G464" s="284">
        <v>180</v>
      </c>
      <c r="H464" s="284">
        <v>17</v>
      </c>
      <c r="I464" s="284">
        <v>1</v>
      </c>
      <c r="J464" s="287">
        <f t="shared" si="123"/>
        <v>2361.1111111111118</v>
      </c>
      <c r="K464" s="288">
        <v>4.74</v>
      </c>
      <c r="L464" s="289">
        <f t="shared" si="124"/>
        <v>658.3333333333335</v>
      </c>
      <c r="M464" s="288">
        <v>5</v>
      </c>
      <c r="N464" s="289">
        <f t="shared" si="125"/>
        <v>694.4444444444445</v>
      </c>
      <c r="O464" s="290">
        <v>2.025</v>
      </c>
      <c r="P464" s="291" t="s">
        <v>433</v>
      </c>
      <c r="Q464" s="288">
        <v>1.07</v>
      </c>
      <c r="R464" s="289">
        <f t="shared" si="126"/>
        <v>2467.92825</v>
      </c>
      <c r="S464" s="292" t="s">
        <v>295</v>
      </c>
      <c r="T464" s="296">
        <f>'Nhan cong'!M$38</f>
        <v>125620.38461538461</v>
      </c>
      <c r="U464" s="250">
        <f>ROUND((J464+L464+N464+R464+T464),0)+6</f>
        <v>131808</v>
      </c>
      <c r="V464" s="250">
        <v>149754</v>
      </c>
      <c r="W464" s="250">
        <v>131808</v>
      </c>
      <c r="X464" s="250">
        <v>105488</v>
      </c>
      <c r="Y464" s="293">
        <v>2500</v>
      </c>
      <c r="Z464" s="294"/>
      <c r="AA464" s="251"/>
      <c r="AB464" s="251"/>
    </row>
    <row r="465" spans="1:28" s="295" customFormat="1" ht="15.75">
      <c r="A465" s="284">
        <v>386</v>
      </c>
      <c r="B465" s="284" t="s">
        <v>3822</v>
      </c>
      <c r="C465" s="284" t="s">
        <v>2933</v>
      </c>
      <c r="D465" s="284" t="s">
        <v>3418</v>
      </c>
      <c r="E465" s="285" t="s">
        <v>102</v>
      </c>
      <c r="F465" s="286" t="s">
        <v>2934</v>
      </c>
      <c r="G465" s="284">
        <v>180</v>
      </c>
      <c r="H465" s="284">
        <v>17</v>
      </c>
      <c r="I465" s="284">
        <v>1</v>
      </c>
      <c r="J465" s="287">
        <f t="shared" si="123"/>
        <v>2833.3333333333335</v>
      </c>
      <c r="K465" s="288">
        <v>4.74</v>
      </c>
      <c r="L465" s="289">
        <f t="shared" si="124"/>
        <v>790.0000000000001</v>
      </c>
      <c r="M465" s="288">
        <v>5</v>
      </c>
      <c r="N465" s="289">
        <f t="shared" si="125"/>
        <v>833.3333333333334</v>
      </c>
      <c r="O465" s="290">
        <v>2.97</v>
      </c>
      <c r="P465" s="291" t="s">
        <v>433</v>
      </c>
      <c r="Q465" s="288">
        <v>1.07</v>
      </c>
      <c r="R465" s="289">
        <f t="shared" si="126"/>
        <v>3619.628100000001</v>
      </c>
      <c r="S465" s="292" t="s">
        <v>295</v>
      </c>
      <c r="T465" s="296">
        <f>'Nhan cong'!M$38</f>
        <v>125620.38461538461</v>
      </c>
      <c r="U465" s="250">
        <f>ROUND((J465+L465+N465+R465+T465),0)-1</f>
        <v>133696</v>
      </c>
      <c r="V465" s="250">
        <v>151642</v>
      </c>
      <c r="W465" s="250">
        <v>133696</v>
      </c>
      <c r="X465" s="250">
        <v>107376</v>
      </c>
      <c r="Y465" s="293">
        <v>3000</v>
      </c>
      <c r="Z465" s="294"/>
      <c r="AA465" s="251"/>
      <c r="AB465" s="251"/>
    </row>
    <row r="466" spans="1:28" s="295" customFormat="1" ht="15.75">
      <c r="A466" s="284">
        <v>387</v>
      </c>
      <c r="B466" s="284" t="s">
        <v>759</v>
      </c>
      <c r="C466" s="284" t="s">
        <v>2935</v>
      </c>
      <c r="D466" s="284" t="s">
        <v>3419</v>
      </c>
      <c r="E466" s="285" t="s">
        <v>103</v>
      </c>
      <c r="F466" s="286" t="s">
        <v>2936</v>
      </c>
      <c r="G466" s="284">
        <v>180</v>
      </c>
      <c r="H466" s="284">
        <v>17</v>
      </c>
      <c r="I466" s="284">
        <v>1</v>
      </c>
      <c r="J466" s="287">
        <f t="shared" si="123"/>
        <v>3022.222222222222</v>
      </c>
      <c r="K466" s="288">
        <v>4.74</v>
      </c>
      <c r="L466" s="289">
        <f t="shared" si="124"/>
        <v>842.6666666666666</v>
      </c>
      <c r="M466" s="288">
        <v>5</v>
      </c>
      <c r="N466" s="289">
        <f t="shared" si="125"/>
        <v>888.8888888888888</v>
      </c>
      <c r="O466" s="290">
        <v>4.05</v>
      </c>
      <c r="P466" s="291" t="s">
        <v>433</v>
      </c>
      <c r="Q466" s="288">
        <v>1.07</v>
      </c>
      <c r="R466" s="289">
        <f t="shared" si="126"/>
        <v>4935.8565</v>
      </c>
      <c r="S466" s="292" t="s">
        <v>295</v>
      </c>
      <c r="T466" s="296">
        <f>'Nhan cong'!M$38</f>
        <v>125620.38461538461</v>
      </c>
      <c r="U466" s="250">
        <f aca="true" t="shared" si="127" ref="U466:U480">ROUND((J466+L466+N466+R466+T466),0)</f>
        <v>135310</v>
      </c>
      <c r="V466" s="250">
        <v>153256</v>
      </c>
      <c r="W466" s="250">
        <v>135310</v>
      </c>
      <c r="X466" s="250">
        <v>108990</v>
      </c>
      <c r="Y466" s="293">
        <v>3200</v>
      </c>
      <c r="Z466" s="294"/>
      <c r="AA466" s="251"/>
      <c r="AB466" s="251"/>
    </row>
    <row r="467" spans="1:28" s="295" customFormat="1" ht="15.75">
      <c r="A467" s="284">
        <v>388</v>
      </c>
      <c r="B467" s="284" t="s">
        <v>719</v>
      </c>
      <c r="C467" s="284" t="s">
        <v>2937</v>
      </c>
      <c r="D467" s="284" t="s">
        <v>3420</v>
      </c>
      <c r="E467" s="285" t="s">
        <v>104</v>
      </c>
      <c r="F467" s="286" t="s">
        <v>2938</v>
      </c>
      <c r="G467" s="284">
        <v>180</v>
      </c>
      <c r="H467" s="284">
        <v>17</v>
      </c>
      <c r="I467" s="284">
        <v>1</v>
      </c>
      <c r="J467" s="287">
        <f t="shared" si="123"/>
        <v>3211.1111111111113</v>
      </c>
      <c r="K467" s="288">
        <v>4.74</v>
      </c>
      <c r="L467" s="289">
        <f t="shared" si="124"/>
        <v>895.3333333333334</v>
      </c>
      <c r="M467" s="288">
        <v>5</v>
      </c>
      <c r="N467" s="289">
        <f t="shared" si="125"/>
        <v>944.4444444444445</v>
      </c>
      <c r="O467" s="290">
        <v>5.4</v>
      </c>
      <c r="P467" s="291" t="s">
        <v>433</v>
      </c>
      <c r="Q467" s="288">
        <v>1.07</v>
      </c>
      <c r="R467" s="289">
        <f t="shared" si="126"/>
        <v>6581.142000000001</v>
      </c>
      <c r="S467" s="292" t="s">
        <v>295</v>
      </c>
      <c r="T467" s="296">
        <f>'Nhan cong'!M$38</f>
        <v>125620.38461538461</v>
      </c>
      <c r="U467" s="250">
        <f t="shared" si="127"/>
        <v>137252</v>
      </c>
      <c r="V467" s="250">
        <v>155198</v>
      </c>
      <c r="W467" s="250">
        <v>137252</v>
      </c>
      <c r="X467" s="250">
        <v>110932</v>
      </c>
      <c r="Y467" s="293">
        <v>3400</v>
      </c>
      <c r="Z467" s="294"/>
      <c r="AA467" s="251"/>
      <c r="AB467" s="251"/>
    </row>
    <row r="468" spans="1:28" s="295" customFormat="1" ht="15.75">
      <c r="A468" s="284">
        <v>389</v>
      </c>
      <c r="B468" s="284">
        <v>0</v>
      </c>
      <c r="C468" s="284" t="s">
        <v>2939</v>
      </c>
      <c r="D468" s="284" t="s">
        <v>3421</v>
      </c>
      <c r="E468" s="285" t="s">
        <v>105</v>
      </c>
      <c r="F468" s="286" t="s">
        <v>2940</v>
      </c>
      <c r="G468" s="284">
        <v>180</v>
      </c>
      <c r="H468" s="284">
        <v>17</v>
      </c>
      <c r="I468" s="284">
        <v>1</v>
      </c>
      <c r="J468" s="287">
        <f t="shared" si="123"/>
        <v>3777.777777777778</v>
      </c>
      <c r="K468" s="288">
        <v>4.74</v>
      </c>
      <c r="L468" s="289">
        <f t="shared" si="124"/>
        <v>1053.3333333333335</v>
      </c>
      <c r="M468" s="288">
        <v>5</v>
      </c>
      <c r="N468" s="289">
        <f t="shared" si="125"/>
        <v>1111.111111111111</v>
      </c>
      <c r="O468" s="290">
        <v>7.56</v>
      </c>
      <c r="P468" s="291" t="s">
        <v>433</v>
      </c>
      <c r="Q468" s="288">
        <v>1.07</v>
      </c>
      <c r="R468" s="289">
        <f t="shared" si="126"/>
        <v>9213.598800000002</v>
      </c>
      <c r="S468" s="292" t="s">
        <v>295</v>
      </c>
      <c r="T468" s="296">
        <f>'Nhan cong'!M$38</f>
        <v>125620.38461538461</v>
      </c>
      <c r="U468" s="250">
        <f t="shared" si="127"/>
        <v>140776</v>
      </c>
      <c r="V468" s="250">
        <v>158722</v>
      </c>
      <c r="W468" s="250">
        <v>140776</v>
      </c>
      <c r="X468" s="250">
        <v>114456</v>
      </c>
      <c r="Y468" s="293">
        <v>4000</v>
      </c>
      <c r="Z468" s="294"/>
      <c r="AA468" s="251"/>
      <c r="AB468" s="251"/>
    </row>
    <row r="469" spans="1:28" s="295" customFormat="1" ht="15.75">
      <c r="A469" s="284">
        <v>390</v>
      </c>
      <c r="B469" s="284">
        <v>0</v>
      </c>
      <c r="C469" s="284" t="s">
        <v>2941</v>
      </c>
      <c r="D469" s="284" t="s">
        <v>3422</v>
      </c>
      <c r="E469" s="285" t="s">
        <v>1899</v>
      </c>
      <c r="F469" s="286" t="s">
        <v>2942</v>
      </c>
      <c r="G469" s="284">
        <v>150</v>
      </c>
      <c r="H469" s="284">
        <v>17</v>
      </c>
      <c r="I469" s="284">
        <v>1</v>
      </c>
      <c r="J469" s="287">
        <f t="shared" si="123"/>
        <v>6120.000000000001</v>
      </c>
      <c r="K469" s="288">
        <v>4.74</v>
      </c>
      <c r="L469" s="289">
        <f t="shared" si="124"/>
        <v>1706.4</v>
      </c>
      <c r="M469" s="288">
        <v>5</v>
      </c>
      <c r="N469" s="289">
        <f t="shared" si="125"/>
        <v>1800</v>
      </c>
      <c r="O469" s="290">
        <v>10.8</v>
      </c>
      <c r="P469" s="291" t="s">
        <v>433</v>
      </c>
      <c r="Q469" s="288">
        <v>1.07</v>
      </c>
      <c r="R469" s="289">
        <f t="shared" si="126"/>
        <v>13162.284000000001</v>
      </c>
      <c r="S469" s="292" t="s">
        <v>295</v>
      </c>
      <c r="T469" s="296">
        <f>'Nhan cong'!M$38</f>
        <v>125620.38461538461</v>
      </c>
      <c r="U469" s="250">
        <f t="shared" si="127"/>
        <v>148409</v>
      </c>
      <c r="V469" s="250">
        <v>166355</v>
      </c>
      <c r="W469" s="250">
        <v>148409</v>
      </c>
      <c r="X469" s="250">
        <v>122089</v>
      </c>
      <c r="Y469" s="293">
        <v>5400</v>
      </c>
      <c r="Z469" s="294"/>
      <c r="AA469" s="251"/>
      <c r="AB469" s="251"/>
    </row>
    <row r="470" spans="1:28" s="295" customFormat="1" ht="15.75">
      <c r="A470" s="284">
        <v>391</v>
      </c>
      <c r="B470" s="284">
        <v>0</v>
      </c>
      <c r="C470" s="284" t="s">
        <v>2943</v>
      </c>
      <c r="D470" s="284" t="s">
        <v>3423</v>
      </c>
      <c r="E470" s="285" t="s">
        <v>1900</v>
      </c>
      <c r="F470" s="286" t="s">
        <v>2944</v>
      </c>
      <c r="G470" s="284">
        <v>150</v>
      </c>
      <c r="H470" s="284">
        <v>17</v>
      </c>
      <c r="I470" s="284">
        <v>1</v>
      </c>
      <c r="J470" s="287">
        <f t="shared" si="123"/>
        <v>6913.333333333333</v>
      </c>
      <c r="K470" s="288">
        <v>4.74</v>
      </c>
      <c r="L470" s="289">
        <f t="shared" si="124"/>
        <v>1927.6000000000001</v>
      </c>
      <c r="M470" s="288">
        <v>5</v>
      </c>
      <c r="N470" s="289">
        <f t="shared" si="125"/>
        <v>2033.3333333333333</v>
      </c>
      <c r="O470" s="290">
        <v>12.15</v>
      </c>
      <c r="P470" s="291" t="s">
        <v>433</v>
      </c>
      <c r="Q470" s="288">
        <v>1.07</v>
      </c>
      <c r="R470" s="289">
        <f t="shared" si="126"/>
        <v>14807.569500000001</v>
      </c>
      <c r="S470" s="292" t="s">
        <v>295</v>
      </c>
      <c r="T470" s="296">
        <f>'Nhan cong'!M$38</f>
        <v>125620.38461538461</v>
      </c>
      <c r="U470" s="250">
        <f t="shared" si="127"/>
        <v>151302</v>
      </c>
      <c r="V470" s="250">
        <v>169248</v>
      </c>
      <c r="W470" s="250">
        <v>151302</v>
      </c>
      <c r="X470" s="250">
        <v>124982</v>
      </c>
      <c r="Y470" s="293">
        <v>6100</v>
      </c>
      <c r="Z470" s="294"/>
      <c r="AA470" s="251"/>
      <c r="AB470" s="251"/>
    </row>
    <row r="471" spans="1:28" s="295" customFormat="1" ht="15.75">
      <c r="A471" s="284">
        <v>392</v>
      </c>
      <c r="B471" s="284" t="s">
        <v>761</v>
      </c>
      <c r="C471" s="284" t="s">
        <v>2945</v>
      </c>
      <c r="D471" s="284" t="s">
        <v>3424</v>
      </c>
      <c r="E471" s="285" t="s">
        <v>1901</v>
      </c>
      <c r="F471" s="286" t="s">
        <v>2946</v>
      </c>
      <c r="G471" s="284">
        <v>150</v>
      </c>
      <c r="H471" s="284">
        <v>17</v>
      </c>
      <c r="I471" s="284">
        <v>1</v>
      </c>
      <c r="J471" s="287">
        <f t="shared" si="123"/>
        <v>10540</v>
      </c>
      <c r="K471" s="288">
        <v>4.74</v>
      </c>
      <c r="L471" s="289">
        <f t="shared" si="124"/>
        <v>2938.8000000000006</v>
      </c>
      <c r="M471" s="288">
        <v>5</v>
      </c>
      <c r="N471" s="289">
        <f t="shared" si="125"/>
        <v>3100</v>
      </c>
      <c r="O471" s="290">
        <v>16.8</v>
      </c>
      <c r="P471" s="291" t="s">
        <v>433</v>
      </c>
      <c r="Q471" s="288">
        <v>1.07</v>
      </c>
      <c r="R471" s="289">
        <f t="shared" si="126"/>
        <v>20474.664</v>
      </c>
      <c r="S471" s="292" t="s">
        <v>295</v>
      </c>
      <c r="T471" s="296">
        <f>'Nhan cong'!M$38</f>
        <v>125620.38461538461</v>
      </c>
      <c r="U471" s="250">
        <f>ROUND((J471+L471+N471+R471+T471),0)-1</f>
        <v>162673</v>
      </c>
      <c r="V471" s="250">
        <v>180619</v>
      </c>
      <c r="W471" s="250">
        <v>162673</v>
      </c>
      <c r="X471" s="250">
        <v>136353</v>
      </c>
      <c r="Y471" s="293">
        <v>9300</v>
      </c>
      <c r="Z471" s="294"/>
      <c r="AA471" s="251"/>
      <c r="AB471" s="251"/>
    </row>
    <row r="472" spans="1:28" s="295" customFormat="1" ht="15.75">
      <c r="A472" s="284">
        <v>393</v>
      </c>
      <c r="B472" s="284">
        <v>0</v>
      </c>
      <c r="C472" s="284" t="s">
        <v>2947</v>
      </c>
      <c r="D472" s="284" t="s">
        <v>3425</v>
      </c>
      <c r="E472" s="285" t="s">
        <v>1902</v>
      </c>
      <c r="F472" s="286" t="s">
        <v>2948</v>
      </c>
      <c r="G472" s="284">
        <v>150</v>
      </c>
      <c r="H472" s="284">
        <v>16</v>
      </c>
      <c r="I472" s="284">
        <v>1</v>
      </c>
      <c r="J472" s="287">
        <f t="shared" si="123"/>
        <v>11626.666666666666</v>
      </c>
      <c r="K472" s="288">
        <v>4.52</v>
      </c>
      <c r="L472" s="289">
        <f t="shared" si="124"/>
        <v>3284.5333333333333</v>
      </c>
      <c r="M472" s="288">
        <v>5</v>
      </c>
      <c r="N472" s="289">
        <f t="shared" si="125"/>
        <v>3633.3333333333335</v>
      </c>
      <c r="O472" s="290">
        <v>24</v>
      </c>
      <c r="P472" s="291" t="s">
        <v>433</v>
      </c>
      <c r="Q472" s="288">
        <v>1.07</v>
      </c>
      <c r="R472" s="289">
        <f t="shared" si="126"/>
        <v>29249.52</v>
      </c>
      <c r="S472" s="292" t="s">
        <v>1591</v>
      </c>
      <c r="T472" s="289">
        <f>'Nhan cong'!$M$42</f>
        <v>145974.23076923078</v>
      </c>
      <c r="U472" s="250">
        <f>ROUND((J472+L472+N472+R472+T472),0)-1</f>
        <v>193767</v>
      </c>
      <c r="V472" s="250">
        <v>214041</v>
      </c>
      <c r="W472" s="250">
        <v>193187</v>
      </c>
      <c r="X472" s="250">
        <v>162602</v>
      </c>
      <c r="Y472" s="293">
        <v>10900</v>
      </c>
      <c r="Z472" s="294"/>
      <c r="AA472" s="251"/>
      <c r="AB472" s="251"/>
    </row>
    <row r="473" spans="1:28" s="295" customFormat="1" ht="15.75">
      <c r="A473" s="284">
        <v>394</v>
      </c>
      <c r="B473" s="284" t="s">
        <v>3823</v>
      </c>
      <c r="C473" s="284" t="s">
        <v>2949</v>
      </c>
      <c r="D473" s="284" t="s">
        <v>3426</v>
      </c>
      <c r="E473" s="285" t="s">
        <v>1903</v>
      </c>
      <c r="F473" s="286" t="s">
        <v>2950</v>
      </c>
      <c r="G473" s="284">
        <v>150</v>
      </c>
      <c r="H473" s="284">
        <v>16</v>
      </c>
      <c r="I473" s="284">
        <v>0.95</v>
      </c>
      <c r="J473" s="287">
        <f t="shared" si="123"/>
        <v>15200</v>
      </c>
      <c r="K473" s="288">
        <v>4.52</v>
      </c>
      <c r="L473" s="289">
        <f t="shared" si="124"/>
        <v>4520</v>
      </c>
      <c r="M473" s="288">
        <v>5</v>
      </c>
      <c r="N473" s="289">
        <f t="shared" si="125"/>
        <v>5000</v>
      </c>
      <c r="O473" s="290">
        <v>33.6</v>
      </c>
      <c r="P473" s="291" t="s">
        <v>433</v>
      </c>
      <c r="Q473" s="288">
        <v>1.07</v>
      </c>
      <c r="R473" s="289">
        <f t="shared" si="126"/>
        <v>40949.328</v>
      </c>
      <c r="S473" s="292" t="s">
        <v>1591</v>
      </c>
      <c r="T473" s="289">
        <f>'Nhan cong'!$M$42</f>
        <v>145974.23076923078</v>
      </c>
      <c r="U473" s="250">
        <f>ROUND((J473+L473+N473+R473+T473),0)-1</f>
        <v>211643</v>
      </c>
      <c r="V473" s="250">
        <v>232497</v>
      </c>
      <c r="W473" s="250">
        <v>211643</v>
      </c>
      <c r="X473" s="250">
        <v>181058</v>
      </c>
      <c r="Y473" s="293">
        <v>15000</v>
      </c>
      <c r="Z473" s="294"/>
      <c r="AA473" s="251"/>
      <c r="AB473" s="251"/>
    </row>
    <row r="474" spans="1:28" s="295" customFormat="1" ht="15.75">
      <c r="A474" s="284">
        <v>395</v>
      </c>
      <c r="B474" s="284" t="s">
        <v>3824</v>
      </c>
      <c r="C474" s="284" t="s">
        <v>2951</v>
      </c>
      <c r="D474" s="284" t="s">
        <v>3427</v>
      </c>
      <c r="E474" s="285" t="s">
        <v>1904</v>
      </c>
      <c r="F474" s="286" t="s">
        <v>2952</v>
      </c>
      <c r="G474" s="284">
        <v>150</v>
      </c>
      <c r="H474" s="284">
        <v>16</v>
      </c>
      <c r="I474" s="284">
        <v>0.95</v>
      </c>
      <c r="J474" s="287">
        <f t="shared" si="123"/>
        <v>24624</v>
      </c>
      <c r="K474" s="288">
        <v>4.2</v>
      </c>
      <c r="L474" s="289">
        <f t="shared" si="124"/>
        <v>6804</v>
      </c>
      <c r="M474" s="288">
        <v>5</v>
      </c>
      <c r="N474" s="289">
        <f t="shared" si="125"/>
        <v>8100</v>
      </c>
      <c r="O474" s="290">
        <v>48</v>
      </c>
      <c r="P474" s="291" t="s">
        <v>433</v>
      </c>
      <c r="Q474" s="288">
        <v>1.07</v>
      </c>
      <c r="R474" s="289">
        <f t="shared" si="126"/>
        <v>58499.04</v>
      </c>
      <c r="S474" s="292" t="s">
        <v>1591</v>
      </c>
      <c r="T474" s="289">
        <f>'Nhan cong'!$M$42</f>
        <v>145974.23076923078</v>
      </c>
      <c r="U474" s="250">
        <f t="shared" si="127"/>
        <v>244001</v>
      </c>
      <c r="V474" s="250">
        <v>264855</v>
      </c>
      <c r="W474" s="250">
        <v>244001</v>
      </c>
      <c r="X474" s="250">
        <v>213416</v>
      </c>
      <c r="Y474" s="293">
        <v>24300</v>
      </c>
      <c r="Z474" s="294"/>
      <c r="AA474" s="251"/>
      <c r="AB474" s="251"/>
    </row>
    <row r="475" spans="1:28" s="295" customFormat="1" ht="15.75">
      <c r="A475" s="284">
        <v>396</v>
      </c>
      <c r="B475" s="284">
        <v>0</v>
      </c>
      <c r="C475" s="284" t="s">
        <v>2953</v>
      </c>
      <c r="D475" s="284" t="s">
        <v>3428</v>
      </c>
      <c r="E475" s="285" t="s">
        <v>1905</v>
      </c>
      <c r="F475" s="286" t="s">
        <v>2954</v>
      </c>
      <c r="G475" s="284">
        <v>150</v>
      </c>
      <c r="H475" s="284">
        <v>16</v>
      </c>
      <c r="I475" s="284">
        <v>0.95</v>
      </c>
      <c r="J475" s="287">
        <f t="shared" si="123"/>
        <v>28373.333333333336</v>
      </c>
      <c r="K475" s="288">
        <v>4.2</v>
      </c>
      <c r="L475" s="289">
        <f t="shared" si="124"/>
        <v>7840</v>
      </c>
      <c r="M475" s="288">
        <v>5</v>
      </c>
      <c r="N475" s="289">
        <f t="shared" si="125"/>
        <v>9333.333333333334</v>
      </c>
      <c r="O475" s="290">
        <v>52.8</v>
      </c>
      <c r="P475" s="291" t="s">
        <v>433</v>
      </c>
      <c r="Q475" s="288">
        <v>1.07</v>
      </c>
      <c r="R475" s="289">
        <f t="shared" si="126"/>
        <v>64348.944</v>
      </c>
      <c r="S475" s="292" t="s">
        <v>1591</v>
      </c>
      <c r="T475" s="289">
        <f>'Nhan cong'!$M$42</f>
        <v>145974.23076923078</v>
      </c>
      <c r="U475" s="250">
        <f>ROUND((J475+L475+N475+R475+T475),0)</f>
        <v>255870</v>
      </c>
      <c r="V475" s="250">
        <v>276724</v>
      </c>
      <c r="W475" s="250">
        <v>255870</v>
      </c>
      <c r="X475" s="250">
        <v>225285</v>
      </c>
      <c r="Y475" s="293">
        <v>28000</v>
      </c>
      <c r="Z475" s="294"/>
      <c r="AA475" s="251"/>
      <c r="AB475" s="251"/>
    </row>
    <row r="476" spans="1:28" s="295" customFormat="1" ht="15.75">
      <c r="A476" s="284">
        <v>397</v>
      </c>
      <c r="B476" s="284">
        <v>0</v>
      </c>
      <c r="C476" s="284" t="s">
        <v>2955</v>
      </c>
      <c r="D476" s="284" t="s">
        <v>3429</v>
      </c>
      <c r="E476" s="285" t="s">
        <v>1906</v>
      </c>
      <c r="F476" s="286" t="s">
        <v>2956</v>
      </c>
      <c r="G476" s="284">
        <v>150</v>
      </c>
      <c r="H476" s="284">
        <v>16</v>
      </c>
      <c r="I476" s="284">
        <v>0.95</v>
      </c>
      <c r="J476" s="287">
        <f t="shared" si="123"/>
        <v>33237.33333333333</v>
      </c>
      <c r="K476" s="288">
        <v>4.2</v>
      </c>
      <c r="L476" s="289">
        <f t="shared" si="124"/>
        <v>9184.000000000002</v>
      </c>
      <c r="M476" s="288">
        <v>5</v>
      </c>
      <c r="N476" s="289">
        <f t="shared" si="125"/>
        <v>10933.333333333334</v>
      </c>
      <c r="O476" s="290">
        <v>67.2</v>
      </c>
      <c r="P476" s="291" t="s">
        <v>433</v>
      </c>
      <c r="Q476" s="288">
        <v>1.07</v>
      </c>
      <c r="R476" s="289">
        <f t="shared" si="126"/>
        <v>81898.656</v>
      </c>
      <c r="S476" s="292" t="s">
        <v>1591</v>
      </c>
      <c r="T476" s="289">
        <f>'Nhan cong'!$M$42</f>
        <v>145974.23076923078</v>
      </c>
      <c r="U476" s="250">
        <f>ROUND((J476+L476+N476+R476+T476),0)-1</f>
        <v>281227</v>
      </c>
      <c r="V476" s="250">
        <v>302081</v>
      </c>
      <c r="W476" s="250">
        <v>281227</v>
      </c>
      <c r="X476" s="250">
        <v>250642</v>
      </c>
      <c r="Y476" s="293">
        <v>32800</v>
      </c>
      <c r="Z476" s="294"/>
      <c r="AA476" s="251"/>
      <c r="AB476" s="251"/>
    </row>
    <row r="477" spans="1:28" s="295" customFormat="1" ht="15.75">
      <c r="A477" s="284">
        <v>398</v>
      </c>
      <c r="B477" s="284">
        <v>0</v>
      </c>
      <c r="C477" s="284" t="s">
        <v>2957</v>
      </c>
      <c r="D477" s="284" t="s">
        <v>3430</v>
      </c>
      <c r="E477" s="285" t="s">
        <v>1907</v>
      </c>
      <c r="F477" s="286" t="s">
        <v>2958</v>
      </c>
      <c r="G477" s="284">
        <v>150</v>
      </c>
      <c r="H477" s="284">
        <v>16</v>
      </c>
      <c r="I477" s="284">
        <v>0.95</v>
      </c>
      <c r="J477" s="287">
        <f t="shared" si="123"/>
        <v>40229.33333333333</v>
      </c>
      <c r="K477" s="288">
        <v>4.2</v>
      </c>
      <c r="L477" s="289">
        <f t="shared" si="124"/>
        <v>11116.000000000002</v>
      </c>
      <c r="M477" s="288">
        <v>5</v>
      </c>
      <c r="N477" s="289">
        <f t="shared" si="125"/>
        <v>13233.333333333332</v>
      </c>
      <c r="O477" s="290">
        <v>72</v>
      </c>
      <c r="P477" s="291" t="s">
        <v>433</v>
      </c>
      <c r="Q477" s="288">
        <v>1.07</v>
      </c>
      <c r="R477" s="289">
        <f t="shared" si="126"/>
        <v>87748.56000000001</v>
      </c>
      <c r="S477" s="292" t="s">
        <v>1591</v>
      </c>
      <c r="T477" s="289">
        <f>'Nhan cong'!$M$42</f>
        <v>145974.23076923078</v>
      </c>
      <c r="U477" s="250">
        <f t="shared" si="127"/>
        <v>298301</v>
      </c>
      <c r="V477" s="250">
        <v>319155</v>
      </c>
      <c r="W477" s="250">
        <v>298301</v>
      </c>
      <c r="X477" s="250">
        <v>267716</v>
      </c>
      <c r="Y477" s="293">
        <v>39700</v>
      </c>
      <c r="Z477" s="294"/>
      <c r="AA477" s="251"/>
      <c r="AB477" s="251"/>
    </row>
    <row r="478" spans="1:28" s="295" customFormat="1" ht="15.75">
      <c r="A478" s="284">
        <v>399</v>
      </c>
      <c r="B478" s="284">
        <v>0</v>
      </c>
      <c r="C478" s="284" t="s">
        <v>2959</v>
      </c>
      <c r="D478" s="284" t="s">
        <v>3431</v>
      </c>
      <c r="E478" s="285" t="s">
        <v>1908</v>
      </c>
      <c r="F478" s="286" t="s">
        <v>2960</v>
      </c>
      <c r="G478" s="284">
        <v>150</v>
      </c>
      <c r="H478" s="284">
        <v>16</v>
      </c>
      <c r="I478" s="284">
        <v>0.95</v>
      </c>
      <c r="J478" s="287">
        <f t="shared" si="123"/>
        <v>53605.33333333333</v>
      </c>
      <c r="K478" s="288">
        <v>3.96</v>
      </c>
      <c r="L478" s="289">
        <f t="shared" si="124"/>
        <v>13965.599999999999</v>
      </c>
      <c r="M478" s="288">
        <v>5</v>
      </c>
      <c r="N478" s="289">
        <f t="shared" si="125"/>
        <v>17633.333333333332</v>
      </c>
      <c r="O478" s="290">
        <v>96</v>
      </c>
      <c r="P478" s="291" t="s">
        <v>433</v>
      </c>
      <c r="Q478" s="288">
        <v>1.07</v>
      </c>
      <c r="R478" s="289">
        <f t="shared" si="126"/>
        <v>116998.08</v>
      </c>
      <c r="S478" s="292" t="s">
        <v>1591</v>
      </c>
      <c r="T478" s="289">
        <f>'Nhan cong'!$M$42</f>
        <v>145974.23076923078</v>
      </c>
      <c r="U478" s="250">
        <f>ROUND((J478+L478+N478+R478+T478),0)-1</f>
        <v>348176</v>
      </c>
      <c r="V478" s="250">
        <v>369030</v>
      </c>
      <c r="W478" s="250">
        <v>348176</v>
      </c>
      <c r="X478" s="250">
        <v>317591</v>
      </c>
      <c r="Y478" s="293">
        <v>52900</v>
      </c>
      <c r="Z478" s="294"/>
      <c r="AA478" s="251"/>
      <c r="AB478" s="251"/>
    </row>
    <row r="479" spans="1:28" s="295" customFormat="1" ht="15.75">
      <c r="A479" s="284">
        <v>400</v>
      </c>
      <c r="B479" s="284">
        <v>0</v>
      </c>
      <c r="C479" s="284" t="s">
        <v>2961</v>
      </c>
      <c r="D479" s="284" t="s">
        <v>3432</v>
      </c>
      <c r="E479" s="285" t="s">
        <v>1909</v>
      </c>
      <c r="F479" s="286" t="s">
        <v>2962</v>
      </c>
      <c r="G479" s="284">
        <v>150</v>
      </c>
      <c r="H479" s="284">
        <v>16</v>
      </c>
      <c r="I479" s="284">
        <v>0.95</v>
      </c>
      <c r="J479" s="287">
        <f t="shared" si="123"/>
        <v>63029.333333333336</v>
      </c>
      <c r="K479" s="288">
        <v>3.96</v>
      </c>
      <c r="L479" s="289">
        <f t="shared" si="124"/>
        <v>16420.8</v>
      </c>
      <c r="M479" s="288">
        <v>5</v>
      </c>
      <c r="N479" s="289">
        <f t="shared" si="125"/>
        <v>20733.333333333336</v>
      </c>
      <c r="O479" s="290">
        <v>120</v>
      </c>
      <c r="P479" s="291" t="s">
        <v>433</v>
      </c>
      <c r="Q479" s="288">
        <v>1.07</v>
      </c>
      <c r="R479" s="289">
        <f t="shared" si="126"/>
        <v>146247.6</v>
      </c>
      <c r="S479" s="292" t="s">
        <v>1591</v>
      </c>
      <c r="T479" s="289">
        <f>'Nhan cong'!$M$42</f>
        <v>145974.23076923078</v>
      </c>
      <c r="U479" s="250">
        <f t="shared" si="127"/>
        <v>392405</v>
      </c>
      <c r="V479" s="250">
        <v>413259</v>
      </c>
      <c r="W479" s="250">
        <v>392405</v>
      </c>
      <c r="X479" s="250">
        <v>361820</v>
      </c>
      <c r="Y479" s="293">
        <v>62200</v>
      </c>
      <c r="Z479" s="294"/>
      <c r="AA479" s="251"/>
      <c r="AB479" s="251"/>
    </row>
    <row r="480" spans="1:28" s="295" customFormat="1" ht="15.75">
      <c r="A480" s="284">
        <v>401</v>
      </c>
      <c r="B480" s="284">
        <v>0</v>
      </c>
      <c r="C480" s="284" t="s">
        <v>2963</v>
      </c>
      <c r="D480" s="284" t="s">
        <v>3433</v>
      </c>
      <c r="E480" s="285" t="s">
        <v>1910</v>
      </c>
      <c r="F480" s="286" t="s">
        <v>2964</v>
      </c>
      <c r="G480" s="284">
        <v>150</v>
      </c>
      <c r="H480" s="284">
        <v>16</v>
      </c>
      <c r="I480" s="284">
        <v>0.95</v>
      </c>
      <c r="J480" s="287">
        <f t="shared" si="123"/>
        <v>66373.33333333333</v>
      </c>
      <c r="K480" s="288">
        <v>3.96</v>
      </c>
      <c r="L480" s="289">
        <f t="shared" si="124"/>
        <v>17291.999999999996</v>
      </c>
      <c r="M480" s="288">
        <v>5</v>
      </c>
      <c r="N480" s="289">
        <f t="shared" si="125"/>
        <v>21833.333333333332</v>
      </c>
      <c r="O480" s="290">
        <v>132</v>
      </c>
      <c r="P480" s="291" t="s">
        <v>433</v>
      </c>
      <c r="Q480" s="288">
        <v>1.07</v>
      </c>
      <c r="R480" s="289">
        <f t="shared" si="126"/>
        <v>160872.36000000002</v>
      </c>
      <c r="S480" s="292" t="s">
        <v>1591</v>
      </c>
      <c r="T480" s="289">
        <f>'Nhan cong'!$M$42</f>
        <v>145974.23076923078</v>
      </c>
      <c r="U480" s="250">
        <f t="shared" si="127"/>
        <v>412345</v>
      </c>
      <c r="V480" s="250">
        <v>433199</v>
      </c>
      <c r="W480" s="250">
        <v>412345</v>
      </c>
      <c r="X480" s="250">
        <v>381760</v>
      </c>
      <c r="Y480" s="293">
        <v>65500</v>
      </c>
      <c r="Z480" s="294"/>
      <c r="AA480" s="251"/>
      <c r="AB480" s="251"/>
    </row>
    <row r="481" spans="1:28" s="295" customFormat="1" ht="15.75">
      <c r="A481" s="284">
        <v>402</v>
      </c>
      <c r="B481" s="284">
        <v>0</v>
      </c>
      <c r="C481" s="284" t="s">
        <v>2965</v>
      </c>
      <c r="D481" s="284" t="s">
        <v>3434</v>
      </c>
      <c r="E481" s="285" t="s">
        <v>1911</v>
      </c>
      <c r="F481" s="286" t="s">
        <v>2966</v>
      </c>
      <c r="G481" s="284">
        <v>150</v>
      </c>
      <c r="H481" s="284">
        <v>14</v>
      </c>
      <c r="I481" s="284">
        <v>0.95</v>
      </c>
      <c r="J481" s="287">
        <f t="shared" si="123"/>
        <v>83524</v>
      </c>
      <c r="K481" s="288">
        <v>3.59</v>
      </c>
      <c r="L481" s="289">
        <f t="shared" si="124"/>
        <v>22545.2</v>
      </c>
      <c r="M481" s="288">
        <v>5</v>
      </c>
      <c r="N481" s="289">
        <f t="shared" si="125"/>
        <v>31400</v>
      </c>
      <c r="O481" s="290">
        <v>180</v>
      </c>
      <c r="P481" s="291" t="s">
        <v>433</v>
      </c>
      <c r="Q481" s="288">
        <v>1.07</v>
      </c>
      <c r="R481" s="289">
        <f t="shared" si="126"/>
        <v>219371.40000000002</v>
      </c>
      <c r="S481" s="292" t="s">
        <v>1591</v>
      </c>
      <c r="T481" s="289">
        <f>'Nhan cong'!$M$42</f>
        <v>145974.23076923078</v>
      </c>
      <c r="U481" s="250">
        <f>ROUND((J481+L481+N481+R481+T481),0)</f>
        <v>502815</v>
      </c>
      <c r="V481" s="250">
        <v>523669</v>
      </c>
      <c r="W481" s="250">
        <v>502815</v>
      </c>
      <c r="X481" s="250">
        <v>472230</v>
      </c>
      <c r="Y481" s="293">
        <v>94200</v>
      </c>
      <c r="Z481" s="294"/>
      <c r="AA481" s="251"/>
      <c r="AB481" s="251"/>
    </row>
    <row r="482" spans="1:28" s="295" customFormat="1" ht="31.5">
      <c r="A482" s="284">
        <v>403</v>
      </c>
      <c r="B482" s="284" t="s">
        <v>3829</v>
      </c>
      <c r="C482" s="284" t="s">
        <v>2967</v>
      </c>
      <c r="D482" s="284" t="s">
        <v>3435</v>
      </c>
      <c r="E482" s="285" t="s">
        <v>1912</v>
      </c>
      <c r="F482" s="286" t="s">
        <v>2968</v>
      </c>
      <c r="G482" s="284">
        <v>150</v>
      </c>
      <c r="H482" s="284">
        <v>14</v>
      </c>
      <c r="I482" s="284">
        <v>0.95</v>
      </c>
      <c r="J482" s="287">
        <f t="shared" si="123"/>
        <v>92834</v>
      </c>
      <c r="K482" s="301">
        <v>3.6</v>
      </c>
      <c r="L482" s="289">
        <f t="shared" si="124"/>
        <v>25128</v>
      </c>
      <c r="M482" s="301">
        <v>5</v>
      </c>
      <c r="N482" s="289">
        <f t="shared" si="125"/>
        <v>34900</v>
      </c>
      <c r="O482" s="302">
        <v>180</v>
      </c>
      <c r="P482" s="272" t="s">
        <v>433</v>
      </c>
      <c r="Q482" s="288">
        <v>1.07</v>
      </c>
      <c r="R482" s="289">
        <f t="shared" si="126"/>
        <v>219371.40000000002</v>
      </c>
      <c r="S482" s="284" t="s">
        <v>1591</v>
      </c>
      <c r="T482" s="296">
        <f>Nii4</f>
        <v>145974.23076923078</v>
      </c>
      <c r="U482" s="250">
        <f>ROUND((J482+L482+N482+R482+T482),0)</f>
        <v>518208</v>
      </c>
      <c r="V482" s="250">
        <v>539061</v>
      </c>
      <c r="W482" s="250">
        <v>518208</v>
      </c>
      <c r="X482" s="250">
        <v>487622</v>
      </c>
      <c r="Y482" s="293">
        <v>104700</v>
      </c>
      <c r="Z482" s="294"/>
      <c r="AA482" s="251"/>
      <c r="AB482" s="251"/>
    </row>
    <row r="483" spans="1:28" s="295" customFormat="1" ht="15.75">
      <c r="A483" s="284">
        <v>404</v>
      </c>
      <c r="B483" s="284">
        <v>0</v>
      </c>
      <c r="C483" s="284" t="s">
        <v>2969</v>
      </c>
      <c r="D483" s="284" t="s">
        <v>3436</v>
      </c>
      <c r="E483" s="285" t="s">
        <v>1913</v>
      </c>
      <c r="F483" s="286" t="s">
        <v>2970</v>
      </c>
      <c r="G483" s="284">
        <v>150</v>
      </c>
      <c r="H483" s="284">
        <v>14</v>
      </c>
      <c r="I483" s="284">
        <v>0.95</v>
      </c>
      <c r="J483" s="287">
        <f t="shared" si="123"/>
        <v>109237.33333333333</v>
      </c>
      <c r="K483" s="288">
        <v>3.59</v>
      </c>
      <c r="L483" s="289">
        <f t="shared" si="124"/>
        <v>29485.866666666665</v>
      </c>
      <c r="M483" s="288">
        <v>5</v>
      </c>
      <c r="N483" s="289">
        <f t="shared" si="125"/>
        <v>41066.66666666667</v>
      </c>
      <c r="O483" s="290">
        <v>271.2</v>
      </c>
      <c r="P483" s="291" t="s">
        <v>433</v>
      </c>
      <c r="Q483" s="288">
        <v>1.07</v>
      </c>
      <c r="R483" s="289">
        <f t="shared" si="126"/>
        <v>330519.576</v>
      </c>
      <c r="S483" s="292" t="s">
        <v>1591</v>
      </c>
      <c r="T483" s="289">
        <f>'Nhan cong'!$M$42</f>
        <v>145974.23076923078</v>
      </c>
      <c r="U483" s="250">
        <f>ROUND((J483+L483+N483+R483+T483),0)</f>
        <v>656284</v>
      </c>
      <c r="V483" s="250">
        <v>677137</v>
      </c>
      <c r="W483" s="250">
        <v>656284</v>
      </c>
      <c r="X483" s="250">
        <v>625698</v>
      </c>
      <c r="Y483" s="293">
        <v>123200</v>
      </c>
      <c r="Z483" s="294"/>
      <c r="AA483" s="251"/>
      <c r="AB483" s="251"/>
    </row>
    <row r="484" spans="1:28" s="295" customFormat="1" ht="15.75">
      <c r="A484" s="297"/>
      <c r="B484" s="284"/>
      <c r="C484" s="298"/>
      <c r="D484" s="284"/>
      <c r="E484" s="272"/>
      <c r="F484" s="151" t="s">
        <v>2971</v>
      </c>
      <c r="G484" s="284"/>
      <c r="H484" s="284"/>
      <c r="I484" s="284"/>
      <c r="J484" s="299"/>
      <c r="K484" s="288"/>
      <c r="L484" s="289"/>
      <c r="M484" s="288"/>
      <c r="N484" s="300"/>
      <c r="O484" s="290"/>
      <c r="P484" s="291"/>
      <c r="Q484" s="288"/>
      <c r="R484" s="300"/>
      <c r="S484" s="292"/>
      <c r="T484" s="289"/>
      <c r="U484" s="250"/>
      <c r="V484" s="250"/>
      <c r="W484" s="250"/>
      <c r="X484" s="250"/>
      <c r="Y484" s="293"/>
      <c r="Z484" s="385"/>
      <c r="AA484" s="251"/>
      <c r="AB484" s="251"/>
    </row>
    <row r="485" spans="1:28" s="295" customFormat="1" ht="15.75">
      <c r="A485" s="284">
        <v>405</v>
      </c>
      <c r="B485" s="284">
        <v>0</v>
      </c>
      <c r="C485" s="284" t="s">
        <v>2972</v>
      </c>
      <c r="D485" s="284" t="s">
        <v>3437</v>
      </c>
      <c r="E485" s="285" t="s">
        <v>1914</v>
      </c>
      <c r="F485" s="286" t="s">
        <v>2973</v>
      </c>
      <c r="G485" s="284">
        <v>150</v>
      </c>
      <c r="H485" s="284">
        <v>20</v>
      </c>
      <c r="I485" s="284">
        <v>1</v>
      </c>
      <c r="J485" s="287">
        <f aca="true" t="shared" si="128" ref="J485:J498">Y485*H485%*I485/G485*1000</f>
        <v>15066.666666666666</v>
      </c>
      <c r="K485" s="288">
        <v>5.4</v>
      </c>
      <c r="L485" s="289">
        <f aca="true" t="shared" si="129" ref="L485:L498">(Y485*K485%)/G485*1000</f>
        <v>4068.0000000000005</v>
      </c>
      <c r="M485" s="288">
        <v>5</v>
      </c>
      <c r="N485" s="289">
        <f aca="true" t="shared" si="130" ref="N485:N498">(Y485*M485%)/G485*1000</f>
        <v>3766.6666666666665</v>
      </c>
      <c r="O485" s="290">
        <v>2.7</v>
      </c>
      <c r="P485" s="291" t="s">
        <v>1590</v>
      </c>
      <c r="Q485" s="288">
        <v>1.05</v>
      </c>
      <c r="R485" s="289">
        <f aca="true" t="shared" si="131" ref="R485:R498">O485*diezel*Q485</f>
        <v>54380.45970000001</v>
      </c>
      <c r="S485" s="292" t="s">
        <v>1591</v>
      </c>
      <c r="T485" s="289">
        <f>'Nhan cong'!$M$42</f>
        <v>145974.23076923078</v>
      </c>
      <c r="U485" s="250">
        <f>ROUND((J485+L485+N485+R485+T485),0)</f>
        <v>223256</v>
      </c>
      <c r="V485" s="250">
        <v>243356</v>
      </c>
      <c r="W485" s="250">
        <v>222502</v>
      </c>
      <c r="X485" s="250">
        <v>191917</v>
      </c>
      <c r="Y485" s="293">
        <v>11300</v>
      </c>
      <c r="Z485" s="294"/>
      <c r="AA485" s="251"/>
      <c r="AB485" s="251"/>
    </row>
    <row r="486" spans="1:28" s="295" customFormat="1" ht="15.75">
      <c r="A486" s="284">
        <v>406</v>
      </c>
      <c r="B486" s="284">
        <v>0</v>
      </c>
      <c r="C486" s="284" t="s">
        <v>2974</v>
      </c>
      <c r="D486" s="284" t="s">
        <v>3438</v>
      </c>
      <c r="E486" s="285" t="s">
        <v>1915</v>
      </c>
      <c r="F486" s="286" t="s">
        <v>2975</v>
      </c>
      <c r="G486" s="284">
        <v>150</v>
      </c>
      <c r="H486" s="284">
        <v>20</v>
      </c>
      <c r="I486" s="284">
        <v>0.95</v>
      </c>
      <c r="J486" s="287">
        <f t="shared" si="128"/>
        <v>17100</v>
      </c>
      <c r="K486" s="288">
        <v>5.4</v>
      </c>
      <c r="L486" s="289">
        <f t="shared" si="129"/>
        <v>4860</v>
      </c>
      <c r="M486" s="288">
        <v>5</v>
      </c>
      <c r="N486" s="289">
        <f t="shared" si="130"/>
        <v>4500</v>
      </c>
      <c r="O486" s="290">
        <v>2.97</v>
      </c>
      <c r="P486" s="291" t="s">
        <v>1590</v>
      </c>
      <c r="Q486" s="288">
        <v>1.05</v>
      </c>
      <c r="R486" s="289">
        <f t="shared" si="131"/>
        <v>59818.505670000006</v>
      </c>
      <c r="S486" s="292" t="s">
        <v>1591</v>
      </c>
      <c r="T486" s="289">
        <f>'Nhan cong'!$M$42</f>
        <v>145974.23076923078</v>
      </c>
      <c r="U486" s="250">
        <f>ROUND((J486+L486+N486+R486+T486),0)-1</f>
        <v>232252</v>
      </c>
      <c r="V486" s="250">
        <v>253107</v>
      </c>
      <c r="W486" s="250">
        <v>232252</v>
      </c>
      <c r="X486" s="250">
        <v>201668</v>
      </c>
      <c r="Y486" s="293">
        <v>13500</v>
      </c>
      <c r="Z486" s="294"/>
      <c r="AA486" s="251"/>
      <c r="AB486" s="251"/>
    </row>
    <row r="487" spans="1:28" s="295" customFormat="1" ht="15.75">
      <c r="A487" s="284">
        <v>407</v>
      </c>
      <c r="B487" s="284">
        <v>0</v>
      </c>
      <c r="C487" s="284" t="s">
        <v>2976</v>
      </c>
      <c r="D487" s="284" t="s">
        <v>3439</v>
      </c>
      <c r="E487" s="285" t="s">
        <v>1916</v>
      </c>
      <c r="F487" s="286" t="s">
        <v>2977</v>
      </c>
      <c r="G487" s="284">
        <v>150</v>
      </c>
      <c r="H487" s="284">
        <v>20</v>
      </c>
      <c r="I487" s="284">
        <v>0.95</v>
      </c>
      <c r="J487" s="287">
        <f t="shared" si="128"/>
        <v>19506.666666666668</v>
      </c>
      <c r="K487" s="288">
        <v>5.4</v>
      </c>
      <c r="L487" s="289">
        <f t="shared" si="129"/>
        <v>5544.000000000001</v>
      </c>
      <c r="M487" s="288">
        <v>5</v>
      </c>
      <c r="N487" s="289">
        <f t="shared" si="130"/>
        <v>5133.333333333334</v>
      </c>
      <c r="O487" s="290">
        <v>3.78</v>
      </c>
      <c r="P487" s="291" t="s">
        <v>1590</v>
      </c>
      <c r="Q487" s="288">
        <v>1.05</v>
      </c>
      <c r="R487" s="289">
        <f t="shared" si="131"/>
        <v>76132.64358</v>
      </c>
      <c r="S487" s="292" t="s">
        <v>1591</v>
      </c>
      <c r="T487" s="289">
        <f>'Nhan cong'!$M$42</f>
        <v>145974.23076923078</v>
      </c>
      <c r="U487" s="250">
        <f>ROUND((J487+L487+N487+R487+T487),0)</f>
        <v>252291</v>
      </c>
      <c r="V487" s="250">
        <v>273145</v>
      </c>
      <c r="W487" s="250">
        <v>252291</v>
      </c>
      <c r="X487" s="250">
        <v>221707</v>
      </c>
      <c r="Y487" s="293">
        <v>15400</v>
      </c>
      <c r="Z487" s="294"/>
      <c r="AA487" s="251"/>
      <c r="AB487" s="251"/>
    </row>
    <row r="488" spans="1:28" s="295" customFormat="1" ht="15.75">
      <c r="A488" s="284">
        <v>408</v>
      </c>
      <c r="B488" s="284">
        <v>0</v>
      </c>
      <c r="C488" s="284" t="s">
        <v>2978</v>
      </c>
      <c r="D488" s="284" t="s">
        <v>3440</v>
      </c>
      <c r="E488" s="285" t="s">
        <v>1917</v>
      </c>
      <c r="F488" s="286" t="s">
        <v>2979</v>
      </c>
      <c r="G488" s="284">
        <v>150</v>
      </c>
      <c r="H488" s="284">
        <v>20</v>
      </c>
      <c r="I488" s="284">
        <v>0.95</v>
      </c>
      <c r="J488" s="287">
        <f t="shared" si="128"/>
        <v>21153.333333333332</v>
      </c>
      <c r="K488" s="288">
        <v>5.4</v>
      </c>
      <c r="L488" s="289">
        <f t="shared" si="129"/>
        <v>6012</v>
      </c>
      <c r="M488" s="288">
        <v>5</v>
      </c>
      <c r="N488" s="289">
        <f t="shared" si="130"/>
        <v>5566.666666666666</v>
      </c>
      <c r="O488" s="290">
        <v>4.05</v>
      </c>
      <c r="P488" s="291" t="s">
        <v>1590</v>
      </c>
      <c r="Q488" s="288">
        <v>1.05</v>
      </c>
      <c r="R488" s="289">
        <f t="shared" si="131"/>
        <v>81570.68955</v>
      </c>
      <c r="S488" s="292" t="s">
        <v>1591</v>
      </c>
      <c r="T488" s="289">
        <f>'Nhan cong'!$M$42</f>
        <v>145974.23076923078</v>
      </c>
      <c r="U488" s="250">
        <f>ROUND((J488+L488+N488+R488+T488),0)</f>
        <v>260277</v>
      </c>
      <c r="V488" s="250">
        <v>281131</v>
      </c>
      <c r="W488" s="250">
        <v>260277</v>
      </c>
      <c r="X488" s="250">
        <v>229692</v>
      </c>
      <c r="Y488" s="293">
        <v>16700</v>
      </c>
      <c r="Z488" s="294"/>
      <c r="AA488" s="251"/>
      <c r="AB488" s="251"/>
    </row>
    <row r="489" spans="1:28" s="295" customFormat="1" ht="15.75">
      <c r="A489" s="284">
        <v>409</v>
      </c>
      <c r="B489" s="284">
        <v>0</v>
      </c>
      <c r="C489" s="284" t="s">
        <v>2980</v>
      </c>
      <c r="D489" s="284" t="s">
        <v>3441</v>
      </c>
      <c r="E489" s="285" t="s">
        <v>1918</v>
      </c>
      <c r="F489" s="286" t="s">
        <v>2981</v>
      </c>
      <c r="G489" s="284">
        <v>150</v>
      </c>
      <c r="H489" s="284">
        <v>20</v>
      </c>
      <c r="I489" s="284">
        <v>0.95</v>
      </c>
      <c r="J489" s="287">
        <f t="shared" si="128"/>
        <v>29766.666666666664</v>
      </c>
      <c r="K489" s="288">
        <v>5.4</v>
      </c>
      <c r="L489" s="289">
        <f t="shared" si="129"/>
        <v>8460</v>
      </c>
      <c r="M489" s="288">
        <v>5</v>
      </c>
      <c r="N489" s="289">
        <f t="shared" si="130"/>
        <v>7833.333333333333</v>
      </c>
      <c r="O489" s="290">
        <v>5.1</v>
      </c>
      <c r="P489" s="291" t="s">
        <v>1590</v>
      </c>
      <c r="Q489" s="288">
        <v>1.05</v>
      </c>
      <c r="R489" s="289">
        <f t="shared" si="131"/>
        <v>102718.6461</v>
      </c>
      <c r="S489" s="292" t="s">
        <v>1591</v>
      </c>
      <c r="T489" s="289">
        <f>'Nhan cong'!$M$42</f>
        <v>145974.23076923078</v>
      </c>
      <c r="U489" s="250">
        <f>ROUND((J489+L489+N489+R489+T489),0)</f>
        <v>294753</v>
      </c>
      <c r="V489" s="250">
        <v>315607</v>
      </c>
      <c r="W489" s="250">
        <v>294753</v>
      </c>
      <c r="X489" s="250">
        <v>264168</v>
      </c>
      <c r="Y489" s="293">
        <v>23500</v>
      </c>
      <c r="Z489" s="294"/>
      <c r="AA489" s="251"/>
      <c r="AB489" s="251"/>
    </row>
    <row r="490" spans="1:28" s="295" customFormat="1" ht="15.75">
      <c r="A490" s="284">
        <v>410</v>
      </c>
      <c r="B490" s="284">
        <v>0</v>
      </c>
      <c r="C490" s="284" t="s">
        <v>2982</v>
      </c>
      <c r="D490" s="284" t="s">
        <v>3442</v>
      </c>
      <c r="E490" s="285" t="s">
        <v>1919</v>
      </c>
      <c r="F490" s="286" t="s">
        <v>2983</v>
      </c>
      <c r="G490" s="284">
        <v>150</v>
      </c>
      <c r="H490" s="284">
        <v>18</v>
      </c>
      <c r="I490" s="284">
        <v>0.95</v>
      </c>
      <c r="J490" s="287">
        <f t="shared" si="128"/>
        <v>51300</v>
      </c>
      <c r="K490" s="288">
        <v>4.68</v>
      </c>
      <c r="L490" s="289">
        <f t="shared" si="129"/>
        <v>14039.999999999998</v>
      </c>
      <c r="M490" s="288">
        <v>5</v>
      </c>
      <c r="N490" s="289">
        <f t="shared" si="130"/>
        <v>15000</v>
      </c>
      <c r="O490" s="290">
        <v>7.65</v>
      </c>
      <c r="P490" s="291" t="s">
        <v>1590</v>
      </c>
      <c r="Q490" s="288">
        <v>1.05</v>
      </c>
      <c r="R490" s="289">
        <f t="shared" si="131"/>
        <v>154077.96915000002</v>
      </c>
      <c r="S490" s="292" t="s">
        <v>1591</v>
      </c>
      <c r="T490" s="289">
        <f>'Nhan cong'!$M$42</f>
        <v>145974.23076923078</v>
      </c>
      <c r="U490" s="250">
        <f>ROUND((J490+L490+N490+R490+T490),0)</f>
        <v>380392</v>
      </c>
      <c r="V490" s="250">
        <v>401246</v>
      </c>
      <c r="W490" s="250">
        <v>380392</v>
      </c>
      <c r="X490" s="250">
        <v>349807</v>
      </c>
      <c r="Y490" s="293">
        <v>45000</v>
      </c>
      <c r="Z490" s="294"/>
      <c r="AA490" s="251"/>
      <c r="AB490" s="251"/>
    </row>
    <row r="491" spans="1:28" s="295" customFormat="1" ht="15.75">
      <c r="A491" s="284">
        <v>411</v>
      </c>
      <c r="B491" s="284" t="s">
        <v>3826</v>
      </c>
      <c r="C491" s="284" t="s">
        <v>2984</v>
      </c>
      <c r="D491" s="284" t="s">
        <v>3443</v>
      </c>
      <c r="E491" s="285" t="s">
        <v>1920</v>
      </c>
      <c r="F491" s="286" t="s">
        <v>2985</v>
      </c>
      <c r="G491" s="284">
        <v>150</v>
      </c>
      <c r="H491" s="284">
        <v>18</v>
      </c>
      <c r="I491" s="284">
        <v>0.95</v>
      </c>
      <c r="J491" s="287">
        <f t="shared" si="128"/>
        <v>65435.99999999999</v>
      </c>
      <c r="K491" s="288">
        <v>4.68</v>
      </c>
      <c r="L491" s="289">
        <f t="shared" si="129"/>
        <v>17908.8</v>
      </c>
      <c r="M491" s="288">
        <v>5</v>
      </c>
      <c r="N491" s="289">
        <f t="shared" si="130"/>
        <v>19133.333333333332</v>
      </c>
      <c r="O491" s="290">
        <v>10.2</v>
      </c>
      <c r="P491" s="291" t="s">
        <v>1590</v>
      </c>
      <c r="Q491" s="288">
        <v>1.05</v>
      </c>
      <c r="R491" s="289">
        <f t="shared" si="131"/>
        <v>205437.2922</v>
      </c>
      <c r="S491" s="292" t="s">
        <v>1591</v>
      </c>
      <c r="T491" s="289">
        <f>'Nhan cong'!$M$42</f>
        <v>145974.23076923078</v>
      </c>
      <c r="U491" s="250">
        <f>ROUND((J491+L491+N491+R491+T491),0)-1</f>
        <v>453889</v>
      </c>
      <c r="V491" s="250">
        <v>474743</v>
      </c>
      <c r="W491" s="250">
        <v>453889</v>
      </c>
      <c r="X491" s="250">
        <v>423304</v>
      </c>
      <c r="Y491" s="293">
        <v>57400</v>
      </c>
      <c r="Z491" s="294"/>
      <c r="AA491" s="251"/>
      <c r="AB491" s="251"/>
    </row>
    <row r="492" spans="1:28" s="295" customFormat="1" ht="31.5">
      <c r="A492" s="284">
        <v>412</v>
      </c>
      <c r="B492" s="284" t="s">
        <v>760</v>
      </c>
      <c r="C492" s="284" t="s">
        <v>2986</v>
      </c>
      <c r="D492" s="284" t="s">
        <v>3444</v>
      </c>
      <c r="E492" s="285" t="s">
        <v>1921</v>
      </c>
      <c r="F492" s="286" t="s">
        <v>2987</v>
      </c>
      <c r="G492" s="284">
        <v>150</v>
      </c>
      <c r="H492" s="284">
        <v>16</v>
      </c>
      <c r="I492" s="284">
        <v>0.95</v>
      </c>
      <c r="J492" s="287">
        <f t="shared" si="128"/>
        <v>65157.33333333334</v>
      </c>
      <c r="K492" s="288">
        <v>4</v>
      </c>
      <c r="L492" s="289">
        <f t="shared" si="129"/>
        <v>17146.666666666668</v>
      </c>
      <c r="M492" s="288">
        <v>5</v>
      </c>
      <c r="N492" s="289">
        <f t="shared" si="130"/>
        <v>21433.333333333332</v>
      </c>
      <c r="O492" s="290">
        <v>11</v>
      </c>
      <c r="P492" s="291" t="s">
        <v>1590</v>
      </c>
      <c r="Q492" s="288">
        <v>1.05</v>
      </c>
      <c r="R492" s="289">
        <f t="shared" si="131"/>
        <v>221550.021</v>
      </c>
      <c r="S492" s="292" t="s">
        <v>1591</v>
      </c>
      <c r="T492" s="289">
        <f>'Nhan cong'!$M$42</f>
        <v>145974.23076923078</v>
      </c>
      <c r="U492" s="250">
        <f>ROUND((J492+L492+N492+R492+T492),0)-1</f>
        <v>471261</v>
      </c>
      <c r="V492" s="250">
        <v>492115</v>
      </c>
      <c r="W492" s="250">
        <v>471261</v>
      </c>
      <c r="X492" s="250">
        <v>440676</v>
      </c>
      <c r="Y492" s="293">
        <v>64300</v>
      </c>
      <c r="Z492" s="294"/>
      <c r="AA492" s="251"/>
      <c r="AB492" s="251"/>
    </row>
    <row r="493" spans="1:28" s="295" customFormat="1" ht="15.75">
      <c r="A493" s="284">
        <v>413</v>
      </c>
      <c r="B493" s="284">
        <v>0</v>
      </c>
      <c r="C493" s="284" t="s">
        <v>2988</v>
      </c>
      <c r="D493" s="284" t="s">
        <v>3445</v>
      </c>
      <c r="E493" s="285" t="s">
        <v>1922</v>
      </c>
      <c r="F493" s="286" t="s">
        <v>2989</v>
      </c>
      <c r="G493" s="284">
        <v>150</v>
      </c>
      <c r="H493" s="284">
        <v>17</v>
      </c>
      <c r="I493" s="284">
        <v>0.95</v>
      </c>
      <c r="J493" s="287">
        <f t="shared" si="128"/>
        <v>104113.66666666666</v>
      </c>
      <c r="K493" s="288">
        <v>4.42</v>
      </c>
      <c r="L493" s="289">
        <f t="shared" si="129"/>
        <v>28494.266666666663</v>
      </c>
      <c r="M493" s="288">
        <v>5</v>
      </c>
      <c r="N493" s="289">
        <f t="shared" si="130"/>
        <v>32233.333333333336</v>
      </c>
      <c r="O493" s="290">
        <v>17.76</v>
      </c>
      <c r="P493" s="291" t="s">
        <v>1590</v>
      </c>
      <c r="Q493" s="288">
        <v>1.05</v>
      </c>
      <c r="R493" s="289">
        <f t="shared" si="131"/>
        <v>357702.57936000003</v>
      </c>
      <c r="S493" s="292" t="s">
        <v>1591</v>
      </c>
      <c r="T493" s="289">
        <f>'Nhan cong'!$M$42</f>
        <v>145974.23076923078</v>
      </c>
      <c r="U493" s="250">
        <f>ROUND((J493+L493+N493+R493+T493),0)</f>
        <v>668518</v>
      </c>
      <c r="V493" s="250">
        <v>689372</v>
      </c>
      <c r="W493" s="250">
        <v>668518</v>
      </c>
      <c r="X493" s="250">
        <v>637933</v>
      </c>
      <c r="Y493" s="293">
        <v>96700</v>
      </c>
      <c r="Z493" s="294"/>
      <c r="AA493" s="251"/>
      <c r="AB493" s="251"/>
    </row>
    <row r="494" spans="1:28" s="295" customFormat="1" ht="15.75">
      <c r="A494" s="284">
        <v>414</v>
      </c>
      <c r="B494" s="284" t="s">
        <v>3825</v>
      </c>
      <c r="C494" s="284" t="s">
        <v>2990</v>
      </c>
      <c r="D494" s="284" t="s">
        <v>3446</v>
      </c>
      <c r="E494" s="285" t="s">
        <v>1923</v>
      </c>
      <c r="F494" s="286" t="s">
        <v>2991</v>
      </c>
      <c r="G494" s="284">
        <v>150</v>
      </c>
      <c r="H494" s="284">
        <v>17</v>
      </c>
      <c r="I494" s="284">
        <v>0.95</v>
      </c>
      <c r="J494" s="287">
        <f t="shared" si="128"/>
        <v>114342</v>
      </c>
      <c r="K494" s="288">
        <v>4.42</v>
      </c>
      <c r="L494" s="289">
        <f t="shared" si="129"/>
        <v>31293.600000000002</v>
      </c>
      <c r="M494" s="288">
        <v>5</v>
      </c>
      <c r="N494" s="289">
        <f t="shared" si="130"/>
        <v>35400</v>
      </c>
      <c r="O494" s="290">
        <v>21.6</v>
      </c>
      <c r="P494" s="291" t="s">
        <v>1590</v>
      </c>
      <c r="Q494" s="288">
        <v>1.05</v>
      </c>
      <c r="R494" s="289">
        <f t="shared" si="131"/>
        <v>435043.67760000005</v>
      </c>
      <c r="S494" s="292" t="s">
        <v>1591</v>
      </c>
      <c r="T494" s="289">
        <f>'Nhan cong'!$M$42</f>
        <v>145974.23076923078</v>
      </c>
      <c r="U494" s="250">
        <f>ROUND((J494+L494+N494+R494+T494),0)-1</f>
        <v>762053</v>
      </c>
      <c r="V494" s="250">
        <v>782907</v>
      </c>
      <c r="W494" s="250">
        <v>762053</v>
      </c>
      <c r="X494" s="250">
        <v>731468</v>
      </c>
      <c r="Y494" s="293">
        <v>106200</v>
      </c>
      <c r="Z494" s="294"/>
      <c r="AA494" s="251"/>
      <c r="AB494" s="251"/>
    </row>
    <row r="495" spans="1:28" s="295" customFormat="1" ht="15.75">
      <c r="A495" s="284">
        <v>415</v>
      </c>
      <c r="B495" s="284">
        <v>0</v>
      </c>
      <c r="C495" s="284" t="s">
        <v>2992</v>
      </c>
      <c r="D495" s="284" t="s">
        <v>3447</v>
      </c>
      <c r="E495" s="285" t="s">
        <v>1924</v>
      </c>
      <c r="F495" s="286" t="s">
        <v>2993</v>
      </c>
      <c r="G495" s="284">
        <v>150</v>
      </c>
      <c r="H495" s="284">
        <v>16</v>
      </c>
      <c r="I495" s="284">
        <v>0.95</v>
      </c>
      <c r="J495" s="287">
        <f t="shared" si="128"/>
        <v>209861.3333333333</v>
      </c>
      <c r="K495" s="288">
        <v>3.84</v>
      </c>
      <c r="L495" s="289">
        <f t="shared" si="129"/>
        <v>53017.59999999999</v>
      </c>
      <c r="M495" s="288">
        <v>5</v>
      </c>
      <c r="N495" s="289">
        <f t="shared" si="130"/>
        <v>69033.33333333333</v>
      </c>
      <c r="O495" s="290">
        <v>36</v>
      </c>
      <c r="P495" s="291" t="s">
        <v>1590</v>
      </c>
      <c r="Q495" s="288">
        <v>1.05</v>
      </c>
      <c r="R495" s="289">
        <f t="shared" si="131"/>
        <v>725072.7960000001</v>
      </c>
      <c r="S495" s="292" t="s">
        <v>1591</v>
      </c>
      <c r="T495" s="289">
        <f>'Nhan cong'!$M$42</f>
        <v>145974.23076923078</v>
      </c>
      <c r="U495" s="250">
        <f>ROUND((J495+L495+N495+R495+T495),0)</f>
        <v>1202959</v>
      </c>
      <c r="V495" s="250">
        <v>1223813</v>
      </c>
      <c r="W495" s="250">
        <v>1202959</v>
      </c>
      <c r="X495" s="250">
        <v>1172374</v>
      </c>
      <c r="Y495" s="293">
        <v>207100</v>
      </c>
      <c r="Z495" s="294"/>
      <c r="AA495" s="251"/>
      <c r="AB495" s="251"/>
    </row>
    <row r="496" spans="1:28" s="295" customFormat="1" ht="15.75">
      <c r="A496" s="284">
        <v>416</v>
      </c>
      <c r="B496" s="284">
        <v>0</v>
      </c>
      <c r="C496" s="284" t="s">
        <v>2994</v>
      </c>
      <c r="D496" s="284" t="s">
        <v>3448</v>
      </c>
      <c r="E496" s="285" t="s">
        <v>1925</v>
      </c>
      <c r="F496" s="286" t="s">
        <v>2995</v>
      </c>
      <c r="G496" s="284">
        <v>150</v>
      </c>
      <c r="H496" s="284">
        <v>16</v>
      </c>
      <c r="I496" s="284">
        <v>0.95</v>
      </c>
      <c r="J496" s="287">
        <f t="shared" si="128"/>
        <v>212698.66666666666</v>
      </c>
      <c r="K496" s="288">
        <v>3.84</v>
      </c>
      <c r="L496" s="289">
        <f t="shared" si="129"/>
        <v>53734.399999999994</v>
      </c>
      <c r="M496" s="288">
        <v>5</v>
      </c>
      <c r="N496" s="289">
        <f t="shared" si="130"/>
        <v>69966.66666666667</v>
      </c>
      <c r="O496" s="290">
        <v>45</v>
      </c>
      <c r="P496" s="291" t="s">
        <v>1590</v>
      </c>
      <c r="Q496" s="288">
        <v>1.05</v>
      </c>
      <c r="R496" s="289">
        <f t="shared" si="131"/>
        <v>906340.9950000001</v>
      </c>
      <c r="S496" s="292" t="s">
        <v>1591</v>
      </c>
      <c r="T496" s="289">
        <f>'Nhan cong'!$M$42</f>
        <v>145974.23076923078</v>
      </c>
      <c r="U496" s="250">
        <f>ROUND((J496+L496+N496+R496+T496),0)-1</f>
        <v>1388714</v>
      </c>
      <c r="V496" s="250">
        <v>1409569</v>
      </c>
      <c r="W496" s="250">
        <v>1388714</v>
      </c>
      <c r="X496" s="250">
        <v>1358130</v>
      </c>
      <c r="Y496" s="293">
        <v>209900</v>
      </c>
      <c r="Z496" s="294"/>
      <c r="AA496" s="251"/>
      <c r="AB496" s="251"/>
    </row>
    <row r="497" spans="1:28" s="295" customFormat="1" ht="15.75">
      <c r="A497" s="284">
        <v>417</v>
      </c>
      <c r="B497" s="284">
        <v>0</v>
      </c>
      <c r="C497" s="284" t="s">
        <v>2996</v>
      </c>
      <c r="D497" s="284" t="s">
        <v>3442</v>
      </c>
      <c r="E497" s="285" t="s">
        <v>1926</v>
      </c>
      <c r="F497" s="286" t="s">
        <v>2997</v>
      </c>
      <c r="G497" s="284">
        <v>150</v>
      </c>
      <c r="H497" s="284">
        <v>16</v>
      </c>
      <c r="I497" s="284">
        <v>0.95</v>
      </c>
      <c r="J497" s="287">
        <f t="shared" si="128"/>
        <v>272688</v>
      </c>
      <c r="K497" s="288">
        <v>3.84</v>
      </c>
      <c r="L497" s="289">
        <f t="shared" si="129"/>
        <v>68889.59999999999</v>
      </c>
      <c r="M497" s="288">
        <v>5</v>
      </c>
      <c r="N497" s="289">
        <f t="shared" si="130"/>
        <v>89700</v>
      </c>
      <c r="O497" s="290">
        <v>63</v>
      </c>
      <c r="P497" s="291" t="s">
        <v>1590</v>
      </c>
      <c r="Q497" s="288">
        <v>1.05</v>
      </c>
      <c r="R497" s="289">
        <f t="shared" si="131"/>
        <v>1268877.393</v>
      </c>
      <c r="S497" s="292" t="s">
        <v>311</v>
      </c>
      <c r="T497" s="289">
        <f>'Nhan cong'!$M$46</f>
        <v>170398.84615384616</v>
      </c>
      <c r="U497" s="250">
        <f>ROUND((J497+L497+N497+R497+T497),0)-1</f>
        <v>1870553</v>
      </c>
      <c r="V497" s="250">
        <v>1894897</v>
      </c>
      <c r="W497" s="250">
        <v>1870553</v>
      </c>
      <c r="X497" s="250">
        <v>1834851</v>
      </c>
      <c r="Y497" s="293">
        <v>269100</v>
      </c>
      <c r="Z497" s="294"/>
      <c r="AA497" s="251"/>
      <c r="AB497" s="251"/>
    </row>
    <row r="498" spans="1:28" s="295" customFormat="1" ht="47.25">
      <c r="A498" s="284">
        <v>418</v>
      </c>
      <c r="B498" s="284">
        <v>0</v>
      </c>
      <c r="C498" s="284" t="s">
        <v>2998</v>
      </c>
      <c r="D498" s="284" t="s">
        <v>3449</v>
      </c>
      <c r="E498" s="285" t="s">
        <v>1927</v>
      </c>
      <c r="F498" s="286" t="s">
        <v>2999</v>
      </c>
      <c r="G498" s="284">
        <v>150</v>
      </c>
      <c r="H498" s="284">
        <v>14</v>
      </c>
      <c r="I498" s="284">
        <v>0.95</v>
      </c>
      <c r="J498" s="287">
        <f t="shared" si="128"/>
        <v>895799.3333333333</v>
      </c>
      <c r="K498" s="301">
        <v>2.2</v>
      </c>
      <c r="L498" s="289">
        <f t="shared" si="129"/>
        <v>148177.33333333334</v>
      </c>
      <c r="M498" s="301">
        <v>5</v>
      </c>
      <c r="N498" s="289">
        <f t="shared" si="130"/>
        <v>336766.6666666666</v>
      </c>
      <c r="O498" s="302">
        <v>110.9</v>
      </c>
      <c r="P498" s="272" t="s">
        <v>1590</v>
      </c>
      <c r="Q498" s="288">
        <v>1.05</v>
      </c>
      <c r="R498" s="289">
        <f t="shared" si="131"/>
        <v>2233627.0299</v>
      </c>
      <c r="S498" s="284" t="s">
        <v>230</v>
      </c>
      <c r="T498" s="296">
        <f>Nii4+Nii5</f>
        <v>316373.07692307694</v>
      </c>
      <c r="U498" s="250">
        <f>ROUND((J498+L498+N498+R498+T498),0)-1</f>
        <v>3930742</v>
      </c>
      <c r="V498" s="250">
        <v>3975939</v>
      </c>
      <c r="W498" s="250">
        <v>3930742</v>
      </c>
      <c r="X498" s="250">
        <v>3864454</v>
      </c>
      <c r="Y498" s="293">
        <v>1010300</v>
      </c>
      <c r="Z498" s="294"/>
      <c r="AA498" s="251"/>
      <c r="AB498" s="251"/>
    </row>
    <row r="499" spans="1:28" s="295" customFormat="1" ht="15.75">
      <c r="A499" s="297"/>
      <c r="B499" s="284"/>
      <c r="C499" s="298"/>
      <c r="D499" s="284"/>
      <c r="E499" s="272"/>
      <c r="F499" s="151" t="s">
        <v>3000</v>
      </c>
      <c r="G499" s="284"/>
      <c r="H499" s="284"/>
      <c r="I499" s="284"/>
      <c r="J499" s="299"/>
      <c r="K499" s="288"/>
      <c r="L499" s="289"/>
      <c r="M499" s="288"/>
      <c r="N499" s="300"/>
      <c r="O499" s="290"/>
      <c r="P499" s="291"/>
      <c r="Q499" s="288"/>
      <c r="R499" s="300"/>
      <c r="S499" s="292"/>
      <c r="T499" s="289"/>
      <c r="U499" s="250"/>
      <c r="V499" s="250"/>
      <c r="W499" s="250"/>
      <c r="X499" s="250"/>
      <c r="Y499" s="293"/>
      <c r="Z499" s="385"/>
      <c r="AA499" s="251"/>
      <c r="AB499" s="251"/>
    </row>
    <row r="500" spans="1:28" s="295" customFormat="1" ht="15.75">
      <c r="A500" s="284">
        <v>419</v>
      </c>
      <c r="B500" s="284">
        <v>0</v>
      </c>
      <c r="C500" s="284" t="s">
        <v>3001</v>
      </c>
      <c r="D500" s="284" t="s">
        <v>3450</v>
      </c>
      <c r="E500" s="285" t="s">
        <v>1928</v>
      </c>
      <c r="F500" s="286" t="s">
        <v>3002</v>
      </c>
      <c r="G500" s="284">
        <v>150</v>
      </c>
      <c r="H500" s="284">
        <v>20</v>
      </c>
      <c r="I500" s="284">
        <v>1</v>
      </c>
      <c r="J500" s="287">
        <f>Y500*H500%*I500/G500*1000</f>
        <v>11466.666666666666</v>
      </c>
      <c r="K500" s="288">
        <v>5.8</v>
      </c>
      <c r="L500" s="289">
        <f>(Y500*K500%)/G500*1000</f>
        <v>3325.333333333333</v>
      </c>
      <c r="M500" s="288">
        <v>5</v>
      </c>
      <c r="N500" s="289">
        <f>(Y500*M500%)/G500*1000</f>
        <v>2866.6666666666665</v>
      </c>
      <c r="O500" s="290">
        <v>1.62</v>
      </c>
      <c r="P500" s="291" t="s">
        <v>294</v>
      </c>
      <c r="Q500" s="288">
        <v>1.03</v>
      </c>
      <c r="R500" s="289">
        <f>O500*xang*Q500</f>
        <v>32310.169704</v>
      </c>
      <c r="S500" s="292" t="s">
        <v>1591</v>
      </c>
      <c r="T500" s="289">
        <f>'Nhan cong'!$M$42</f>
        <v>145974.23076923078</v>
      </c>
      <c r="U500" s="250">
        <f>ROUND((J500+L500+N500+R500+T500),0)</f>
        <v>195943</v>
      </c>
      <c r="V500" s="250">
        <v>216797</v>
      </c>
      <c r="W500" s="250">
        <v>195943</v>
      </c>
      <c r="X500" s="250">
        <v>165358</v>
      </c>
      <c r="Y500" s="293">
        <v>8600</v>
      </c>
      <c r="Z500" s="294"/>
      <c r="AA500" s="251"/>
      <c r="AB500" s="251"/>
    </row>
    <row r="501" spans="1:28" s="295" customFormat="1" ht="15.75">
      <c r="A501" s="284">
        <v>420</v>
      </c>
      <c r="B501" s="284">
        <v>0</v>
      </c>
      <c r="C501" s="284" t="s">
        <v>3003</v>
      </c>
      <c r="D501" s="284" t="s">
        <v>3451</v>
      </c>
      <c r="E501" s="285" t="s">
        <v>1929</v>
      </c>
      <c r="F501" s="286" t="s">
        <v>3004</v>
      </c>
      <c r="G501" s="284">
        <v>150</v>
      </c>
      <c r="H501" s="284">
        <v>20</v>
      </c>
      <c r="I501" s="284">
        <v>1</v>
      </c>
      <c r="J501" s="287">
        <f>Y501*H501%*I501/G501*1000</f>
        <v>14400</v>
      </c>
      <c r="K501" s="288">
        <v>5.8</v>
      </c>
      <c r="L501" s="289">
        <f>(Y501*K501%)/G501*1000</f>
        <v>4176</v>
      </c>
      <c r="M501" s="288">
        <v>5</v>
      </c>
      <c r="N501" s="289">
        <f>(Y501*M501%)/G501*1000</f>
        <v>3600</v>
      </c>
      <c r="O501" s="290">
        <v>2.16</v>
      </c>
      <c r="P501" s="291" t="s">
        <v>294</v>
      </c>
      <c r="Q501" s="288">
        <v>1.03</v>
      </c>
      <c r="R501" s="289">
        <f>O501*xang*Q501</f>
        <v>43080.22627200001</v>
      </c>
      <c r="S501" s="292" t="s">
        <v>1591</v>
      </c>
      <c r="T501" s="289">
        <f>'Nhan cong'!$M$42</f>
        <v>145974.23076923078</v>
      </c>
      <c r="U501" s="250">
        <f>ROUND((J501+L501+N501+R501+T501),0)</f>
        <v>211230</v>
      </c>
      <c r="V501" s="250">
        <v>231364</v>
      </c>
      <c r="W501" s="250">
        <v>210510</v>
      </c>
      <c r="X501" s="250">
        <v>179925</v>
      </c>
      <c r="Y501" s="293">
        <v>10800</v>
      </c>
      <c r="Z501" s="294"/>
      <c r="AA501" s="251"/>
      <c r="AB501" s="251"/>
    </row>
    <row r="502" spans="1:28" s="295" customFormat="1" ht="15.75">
      <c r="A502" s="284">
        <v>421</v>
      </c>
      <c r="B502" s="284">
        <v>0</v>
      </c>
      <c r="C502" s="284" t="s">
        <v>3005</v>
      </c>
      <c r="D502" s="284" t="s">
        <v>3452</v>
      </c>
      <c r="E502" s="285" t="s">
        <v>1930</v>
      </c>
      <c r="F502" s="286" t="s">
        <v>3006</v>
      </c>
      <c r="G502" s="284">
        <v>150</v>
      </c>
      <c r="H502" s="284">
        <v>20</v>
      </c>
      <c r="I502" s="284">
        <v>0.95</v>
      </c>
      <c r="J502" s="287">
        <f>Y502*H502%*I502/G502*1000</f>
        <v>18620</v>
      </c>
      <c r="K502" s="288">
        <v>5.8</v>
      </c>
      <c r="L502" s="289">
        <f>(Y502*K502%)/G502*1000</f>
        <v>5683.999999999999</v>
      </c>
      <c r="M502" s="288">
        <v>5</v>
      </c>
      <c r="N502" s="289">
        <f>(Y502*M502%)/G502*1000</f>
        <v>4900</v>
      </c>
      <c r="O502" s="290">
        <v>3.24</v>
      </c>
      <c r="P502" s="291" t="s">
        <v>294</v>
      </c>
      <c r="Q502" s="288">
        <v>1.03</v>
      </c>
      <c r="R502" s="289">
        <f>O502*xang*Q502</f>
        <v>64620.339408</v>
      </c>
      <c r="S502" s="292" t="s">
        <v>1591</v>
      </c>
      <c r="T502" s="289">
        <f>'Nhan cong'!$M$42</f>
        <v>145974.23076923078</v>
      </c>
      <c r="U502" s="250">
        <f>ROUND((J502+L502+N502+R502+T502),0)-1</f>
        <v>239798</v>
      </c>
      <c r="V502" s="250">
        <v>260652</v>
      </c>
      <c r="W502" s="250">
        <v>239798</v>
      </c>
      <c r="X502" s="250">
        <v>209213</v>
      </c>
      <c r="Y502" s="293">
        <v>14700</v>
      </c>
      <c r="Z502" s="294"/>
      <c r="AA502" s="251"/>
      <c r="AB502" s="251"/>
    </row>
    <row r="503" spans="1:28" s="295" customFormat="1" ht="15.75">
      <c r="A503" s="284">
        <v>422</v>
      </c>
      <c r="B503" s="284">
        <v>0</v>
      </c>
      <c r="C503" s="284" t="s">
        <v>3007</v>
      </c>
      <c r="D503" s="284" t="s">
        <v>3453</v>
      </c>
      <c r="E503" s="285" t="s">
        <v>1931</v>
      </c>
      <c r="F503" s="286" t="s">
        <v>2977</v>
      </c>
      <c r="G503" s="284">
        <v>150</v>
      </c>
      <c r="H503" s="284">
        <v>20</v>
      </c>
      <c r="I503" s="284">
        <v>0.95</v>
      </c>
      <c r="J503" s="287">
        <f>Y503*H503%*I503/G503*1000</f>
        <v>23053.333333333336</v>
      </c>
      <c r="K503" s="288">
        <v>5.8</v>
      </c>
      <c r="L503" s="289">
        <f>(Y503*K503%)/G503*1000</f>
        <v>7037.333333333333</v>
      </c>
      <c r="M503" s="288">
        <v>5</v>
      </c>
      <c r="N503" s="289">
        <f>(Y503*M503%)/G503*1000</f>
        <v>6066.666666666666</v>
      </c>
      <c r="O503" s="290">
        <v>3.78</v>
      </c>
      <c r="P503" s="291" t="s">
        <v>294</v>
      </c>
      <c r="Q503" s="288">
        <v>1.03</v>
      </c>
      <c r="R503" s="289">
        <f>O503*xang*Q503</f>
        <v>75390.39597599999</v>
      </c>
      <c r="S503" s="292" t="s">
        <v>1591</v>
      </c>
      <c r="T503" s="289">
        <f>'Nhan cong'!$M$42</f>
        <v>145974.23076923078</v>
      </c>
      <c r="U503" s="250">
        <f>ROUND((J503+L503+N503+R503+T503),0)</f>
        <v>257522</v>
      </c>
      <c r="V503" s="250">
        <v>278376</v>
      </c>
      <c r="W503" s="250">
        <v>257522</v>
      </c>
      <c r="X503" s="250">
        <v>226937</v>
      </c>
      <c r="Y503" s="293">
        <v>18200</v>
      </c>
      <c r="Z503" s="294"/>
      <c r="AA503" s="251"/>
      <c r="AB503" s="251"/>
    </row>
    <row r="504" spans="1:28" s="295" customFormat="1" ht="15.75">
      <c r="A504" s="284">
        <v>423</v>
      </c>
      <c r="B504" s="284">
        <v>0</v>
      </c>
      <c r="C504" s="284" t="s">
        <v>3008</v>
      </c>
      <c r="D504" s="284" t="s">
        <v>3454</v>
      </c>
      <c r="E504" s="285" t="s">
        <v>1932</v>
      </c>
      <c r="F504" s="286" t="s">
        <v>3009</v>
      </c>
      <c r="G504" s="284">
        <v>150</v>
      </c>
      <c r="H504" s="284">
        <v>20</v>
      </c>
      <c r="I504" s="284">
        <v>0.95</v>
      </c>
      <c r="J504" s="287">
        <f>Y504*H504%*I504/G504*1000</f>
        <v>24320</v>
      </c>
      <c r="K504" s="288">
        <v>5.8</v>
      </c>
      <c r="L504" s="289">
        <f>(Y504*K504%)/G504*1000</f>
        <v>7423.999999999999</v>
      </c>
      <c r="M504" s="288">
        <v>5</v>
      </c>
      <c r="N504" s="289">
        <f>(Y504*M504%)/G504*1000</f>
        <v>6400</v>
      </c>
      <c r="O504" s="290">
        <v>4.32</v>
      </c>
      <c r="P504" s="291" t="s">
        <v>294</v>
      </c>
      <c r="Q504" s="288">
        <v>1.03</v>
      </c>
      <c r="R504" s="289">
        <f>O504*xang*Q504</f>
        <v>86160.45254400001</v>
      </c>
      <c r="S504" s="292" t="s">
        <v>1591</v>
      </c>
      <c r="T504" s="289">
        <f>'Nhan cong'!$M$42</f>
        <v>145974.23076923078</v>
      </c>
      <c r="U504" s="250">
        <f>ROUND((J504+L504+N504+R504+T504),0)-1</f>
        <v>270278</v>
      </c>
      <c r="V504" s="250">
        <v>291132</v>
      </c>
      <c r="W504" s="250">
        <v>270278</v>
      </c>
      <c r="X504" s="250">
        <v>239693</v>
      </c>
      <c r="Y504" s="293">
        <v>19200</v>
      </c>
      <c r="Z504" s="294"/>
      <c r="AA504" s="251"/>
      <c r="AB504" s="251"/>
    </row>
    <row r="505" spans="1:28" s="295" customFormat="1" ht="15.75">
      <c r="A505" s="297"/>
      <c r="B505" s="284"/>
      <c r="C505" s="298"/>
      <c r="D505" s="284"/>
      <c r="E505" s="272"/>
      <c r="F505" s="149" t="s">
        <v>3010</v>
      </c>
      <c r="G505" s="284"/>
      <c r="H505" s="284"/>
      <c r="I505" s="284"/>
      <c r="J505" s="299"/>
      <c r="K505" s="301"/>
      <c r="L505" s="289"/>
      <c r="M505" s="301"/>
      <c r="N505" s="300"/>
      <c r="O505" s="302"/>
      <c r="P505" s="272"/>
      <c r="Q505" s="288"/>
      <c r="R505" s="300"/>
      <c r="S505" s="284"/>
      <c r="T505" s="296"/>
      <c r="U505" s="250"/>
      <c r="V505" s="250"/>
      <c r="W505" s="250"/>
      <c r="X505" s="250"/>
      <c r="Y505" s="293"/>
      <c r="Z505" s="385"/>
      <c r="AA505" s="251"/>
      <c r="AB505" s="251"/>
    </row>
    <row r="506" spans="1:28" s="295" customFormat="1" ht="15.75">
      <c r="A506" s="284">
        <v>424</v>
      </c>
      <c r="B506" s="284">
        <v>0</v>
      </c>
      <c r="C506" s="284" t="s">
        <v>3011</v>
      </c>
      <c r="D506" s="284" t="s">
        <v>3455</v>
      </c>
      <c r="E506" s="285" t="s">
        <v>1933</v>
      </c>
      <c r="F506" s="286" t="s">
        <v>3012</v>
      </c>
      <c r="G506" s="284">
        <v>120</v>
      </c>
      <c r="H506" s="284">
        <v>16</v>
      </c>
      <c r="I506" s="284">
        <v>0.95</v>
      </c>
      <c r="J506" s="287">
        <f>Y506*H506%*I506/G506*1000</f>
        <v>427500</v>
      </c>
      <c r="K506" s="301">
        <v>3</v>
      </c>
      <c r="L506" s="289">
        <f>(Y506*K506%)/G506*1000</f>
        <v>84375</v>
      </c>
      <c r="M506" s="301">
        <v>6</v>
      </c>
      <c r="N506" s="289">
        <f>(Y506*M506%)/G506*1000</f>
        <v>168750</v>
      </c>
      <c r="O506" s="302">
        <v>123.8</v>
      </c>
      <c r="P506" s="272" t="s">
        <v>1590</v>
      </c>
      <c r="Q506" s="288">
        <v>1.05</v>
      </c>
      <c r="R506" s="289">
        <f>O506*diezel*Q506</f>
        <v>2493444.7818</v>
      </c>
      <c r="S506" s="284" t="s">
        <v>3013</v>
      </c>
      <c r="T506" s="296">
        <f>2*Nii4+Nii5</f>
        <v>462347.30769230775</v>
      </c>
      <c r="U506" s="250">
        <f>ROUND((J506+L506+N506+R506+T506),0)-2</f>
        <v>3636415</v>
      </c>
      <c r="V506" s="250">
        <v>3702465</v>
      </c>
      <c r="W506" s="250">
        <v>3636415</v>
      </c>
      <c r="X506" s="250">
        <v>3539543</v>
      </c>
      <c r="Y506" s="293">
        <v>337500</v>
      </c>
      <c r="Z506" s="294"/>
      <c r="AA506" s="251"/>
      <c r="AB506" s="251"/>
    </row>
    <row r="507" spans="1:28" s="295" customFormat="1" ht="15.75">
      <c r="A507" s="284">
        <v>425</v>
      </c>
      <c r="B507" s="284">
        <v>0</v>
      </c>
      <c r="C507" s="284" t="s">
        <v>3014</v>
      </c>
      <c r="D507" s="284" t="s">
        <v>3456</v>
      </c>
      <c r="E507" s="285" t="s">
        <v>1934</v>
      </c>
      <c r="F507" s="286" t="s">
        <v>3015</v>
      </c>
      <c r="G507" s="284">
        <v>120</v>
      </c>
      <c r="H507" s="284">
        <v>16</v>
      </c>
      <c r="I507" s="284">
        <v>0.95</v>
      </c>
      <c r="J507" s="287">
        <f>Y507*H507%*I507/G507*1000</f>
        <v>363406.6666666666</v>
      </c>
      <c r="K507" s="301">
        <v>3</v>
      </c>
      <c r="L507" s="289">
        <f>(Y507*K507%)/G507*1000</f>
        <v>71725</v>
      </c>
      <c r="M507" s="301">
        <v>6</v>
      </c>
      <c r="N507" s="289">
        <f>(Y507*M507%)/G507*1000</f>
        <v>143450</v>
      </c>
      <c r="O507" s="302">
        <v>105.2</v>
      </c>
      <c r="P507" s="272" t="s">
        <v>1590</v>
      </c>
      <c r="Q507" s="288">
        <v>1.05</v>
      </c>
      <c r="R507" s="289">
        <f>O507*diezel*Q507</f>
        <v>2118823.8372</v>
      </c>
      <c r="S507" s="284" t="s">
        <v>3013</v>
      </c>
      <c r="T507" s="296">
        <f>2*Nii4+Nii5</f>
        <v>462347.30769230775</v>
      </c>
      <c r="U507" s="250">
        <f>ROUND((J507+L507+N507+R507+T507),0)-2</f>
        <v>3159751</v>
      </c>
      <c r="V507" s="250">
        <v>3225801</v>
      </c>
      <c r="W507" s="250">
        <v>3159751</v>
      </c>
      <c r="X507" s="250">
        <v>3062879</v>
      </c>
      <c r="Y507" s="293">
        <v>286900</v>
      </c>
      <c r="Z507" s="294"/>
      <c r="AA507" s="251"/>
      <c r="AB507" s="251"/>
    </row>
    <row r="508" spans="1:28" s="295" customFormat="1" ht="15.75">
      <c r="A508" s="284">
        <v>426</v>
      </c>
      <c r="B508" s="284">
        <v>0</v>
      </c>
      <c r="C508" s="284" t="s">
        <v>3016</v>
      </c>
      <c r="D508" s="284" t="s">
        <v>3457</v>
      </c>
      <c r="E508" s="285" t="s">
        <v>1935</v>
      </c>
      <c r="F508" s="286" t="s">
        <v>3017</v>
      </c>
      <c r="G508" s="284">
        <v>120</v>
      </c>
      <c r="H508" s="284">
        <v>16</v>
      </c>
      <c r="I508" s="284">
        <v>0.95</v>
      </c>
      <c r="J508" s="287">
        <f>Y508*H508%*I508/G508*1000</f>
        <v>256500</v>
      </c>
      <c r="K508" s="301">
        <v>3.8</v>
      </c>
      <c r="L508" s="289">
        <f>(Y508*K508%)/G508*1000</f>
        <v>64125</v>
      </c>
      <c r="M508" s="301">
        <v>6</v>
      </c>
      <c r="N508" s="289">
        <f>(Y508*M508%)/G508*1000</f>
        <v>101250</v>
      </c>
      <c r="O508" s="302">
        <v>67.6</v>
      </c>
      <c r="P508" s="272" t="s">
        <v>294</v>
      </c>
      <c r="Q508" s="288">
        <v>1.03</v>
      </c>
      <c r="R508" s="289">
        <f>O508*xang*Q508</f>
        <v>1348251.5259199997</v>
      </c>
      <c r="S508" s="284" t="s">
        <v>230</v>
      </c>
      <c r="T508" s="296">
        <f>Nii4+Nii5</f>
        <v>316373.07692307694</v>
      </c>
      <c r="U508" s="250">
        <f>ROUND((J508+L508+N508+R508+T508),0)-1</f>
        <v>2086499</v>
      </c>
      <c r="V508" s="250">
        <v>2131696</v>
      </c>
      <c r="W508" s="250">
        <v>2086499</v>
      </c>
      <c r="X508" s="250">
        <v>2020211</v>
      </c>
      <c r="Y508" s="293">
        <v>202500</v>
      </c>
      <c r="Z508" s="294"/>
      <c r="AA508" s="251"/>
      <c r="AB508" s="251"/>
    </row>
    <row r="509" spans="1:28" s="295" customFormat="1" ht="15.75">
      <c r="A509" s="297"/>
      <c r="B509" s="284"/>
      <c r="C509" s="298"/>
      <c r="D509" s="271"/>
      <c r="F509" s="149" t="s">
        <v>3018</v>
      </c>
      <c r="G509" s="284"/>
      <c r="H509" s="284"/>
      <c r="I509" s="284"/>
      <c r="J509" s="299"/>
      <c r="K509" s="301"/>
      <c r="L509" s="289"/>
      <c r="M509" s="301"/>
      <c r="N509" s="300"/>
      <c r="O509" s="302"/>
      <c r="P509" s="272"/>
      <c r="Q509" s="288"/>
      <c r="R509" s="300"/>
      <c r="S509" s="284"/>
      <c r="T509" s="296"/>
      <c r="U509" s="250"/>
      <c r="V509" s="250"/>
      <c r="W509" s="250"/>
      <c r="X509" s="250"/>
      <c r="Y509" s="293"/>
      <c r="Z509" s="385"/>
      <c r="AA509" s="251"/>
      <c r="AB509" s="251"/>
    </row>
    <row r="510" spans="1:28" s="295" customFormat="1" ht="31.5">
      <c r="A510" s="284">
        <v>427</v>
      </c>
      <c r="B510" s="284">
        <v>0</v>
      </c>
      <c r="C510" s="284" t="s">
        <v>3019</v>
      </c>
      <c r="D510" s="284" t="s">
        <v>3458</v>
      </c>
      <c r="E510" s="285" t="s">
        <v>1937</v>
      </c>
      <c r="F510" s="286" t="s">
        <v>3020</v>
      </c>
      <c r="G510" s="284">
        <v>150</v>
      </c>
      <c r="H510" s="284">
        <v>17</v>
      </c>
      <c r="I510" s="284">
        <v>0.95</v>
      </c>
      <c r="J510" s="287">
        <f>Y510*H510%*I510/G510*1000</f>
        <v>116280</v>
      </c>
      <c r="K510" s="301">
        <v>5</v>
      </c>
      <c r="L510" s="289">
        <f>(Y510*K510%)/G510*1000</f>
        <v>36000</v>
      </c>
      <c r="M510" s="301">
        <v>6</v>
      </c>
      <c r="N510" s="289">
        <f>(Y510*M510%)/G510*1000</f>
        <v>43200</v>
      </c>
      <c r="O510" s="302">
        <v>24.6</v>
      </c>
      <c r="P510" s="272" t="s">
        <v>294</v>
      </c>
      <c r="Q510" s="288">
        <v>1.03</v>
      </c>
      <c r="R510" s="289">
        <f>O510*xang*Q510</f>
        <v>490635.91032</v>
      </c>
      <c r="S510" s="284" t="s">
        <v>1163</v>
      </c>
      <c r="T510" s="296">
        <f>2*Nii3+Nii5</f>
        <v>421639.6153846154</v>
      </c>
      <c r="U510" s="250">
        <f>ROUND((J510+L510+N510+R510+T510),0)</f>
        <v>1107756</v>
      </c>
      <c r="V510" s="250">
        <v>1167990</v>
      </c>
      <c r="W510" s="250">
        <v>1107756</v>
      </c>
      <c r="X510" s="250">
        <v>1019412</v>
      </c>
      <c r="Y510" s="293">
        <v>108000</v>
      </c>
      <c r="Z510" s="294"/>
      <c r="AA510" s="251"/>
      <c r="AB510" s="251"/>
    </row>
    <row r="511" spans="1:28" s="295" customFormat="1" ht="31.5">
      <c r="A511" s="284">
        <v>428</v>
      </c>
      <c r="B511" s="284">
        <v>0</v>
      </c>
      <c r="C511" s="284" t="s">
        <v>3021</v>
      </c>
      <c r="D511" s="284" t="s">
        <v>3459</v>
      </c>
      <c r="E511" s="285" t="s">
        <v>1936</v>
      </c>
      <c r="F511" s="286" t="s">
        <v>3022</v>
      </c>
      <c r="G511" s="284">
        <v>150</v>
      </c>
      <c r="H511" s="284">
        <v>16</v>
      </c>
      <c r="I511" s="284">
        <v>0.95</v>
      </c>
      <c r="J511" s="287">
        <f>Y511*H511%*I511/G511*1000</f>
        <v>478800</v>
      </c>
      <c r="K511" s="301">
        <v>4.1</v>
      </c>
      <c r="L511" s="289">
        <f>(Y511*K511%)/G511*1000</f>
        <v>129149.99999999997</v>
      </c>
      <c r="M511" s="301">
        <v>6</v>
      </c>
      <c r="N511" s="289">
        <f>(Y511*M511%)/G511*1000</f>
        <v>189000</v>
      </c>
      <c r="O511" s="302">
        <v>49</v>
      </c>
      <c r="P511" s="272" t="s">
        <v>294</v>
      </c>
      <c r="Q511" s="288">
        <v>1.03</v>
      </c>
      <c r="R511" s="289">
        <f>O511*xang*Q511</f>
        <v>977282.9108</v>
      </c>
      <c r="S511" s="315" t="s">
        <v>3023</v>
      </c>
      <c r="T511" s="296">
        <f>2*Nii4+'Nhan cong'!M88</f>
        <v>440466.9230769231</v>
      </c>
      <c r="U511" s="250">
        <f>ROUND((J511+L511+N511+R511+T511),0)-1</f>
        <v>2214699</v>
      </c>
      <c r="V511" s="250">
        <v>2277623</v>
      </c>
      <c r="W511" s="250">
        <v>2211706</v>
      </c>
      <c r="X511" s="250">
        <v>2122411</v>
      </c>
      <c r="Y511" s="293">
        <v>472500</v>
      </c>
      <c r="Z511" s="294"/>
      <c r="AA511" s="251"/>
      <c r="AB511" s="251">
        <v>2211706</v>
      </c>
    </row>
    <row r="512" spans="1:28" s="295" customFormat="1" ht="15.75">
      <c r="A512" s="297"/>
      <c r="B512" s="284"/>
      <c r="C512" s="298"/>
      <c r="D512" s="284"/>
      <c r="E512" s="272"/>
      <c r="F512" s="149" t="s">
        <v>3024</v>
      </c>
      <c r="G512" s="284"/>
      <c r="H512" s="284"/>
      <c r="I512" s="284"/>
      <c r="J512" s="299"/>
      <c r="K512" s="301"/>
      <c r="L512" s="289"/>
      <c r="M512" s="301"/>
      <c r="N512" s="300"/>
      <c r="O512" s="302"/>
      <c r="P512" s="272"/>
      <c r="Q512" s="288"/>
      <c r="R512" s="300"/>
      <c r="S512" s="284"/>
      <c r="T512" s="296"/>
      <c r="U512" s="250"/>
      <c r="V512" s="250"/>
      <c r="W512" s="250"/>
      <c r="X512" s="250"/>
      <c r="Y512" s="293"/>
      <c r="Z512" s="385"/>
      <c r="AA512" s="251"/>
      <c r="AB512" s="251"/>
    </row>
    <row r="513" spans="1:28" s="295" customFormat="1" ht="47.25">
      <c r="A513" s="284">
        <v>429</v>
      </c>
      <c r="B513" s="284">
        <v>0</v>
      </c>
      <c r="C513" s="284" t="s">
        <v>3025</v>
      </c>
      <c r="D513" s="284" t="s">
        <v>3460</v>
      </c>
      <c r="E513" s="285" t="s">
        <v>3026</v>
      </c>
      <c r="F513" s="286" t="s">
        <v>3026</v>
      </c>
      <c r="G513" s="284">
        <v>150</v>
      </c>
      <c r="H513" s="284">
        <v>14</v>
      </c>
      <c r="I513" s="284">
        <v>0.95</v>
      </c>
      <c r="J513" s="287">
        <f>Y513*H513%*I513/G513*1000</f>
        <v>53200</v>
      </c>
      <c r="K513" s="301">
        <v>3.8</v>
      </c>
      <c r="L513" s="289">
        <f>(Y513*K513%)/G513*1000</f>
        <v>15200</v>
      </c>
      <c r="M513" s="301">
        <v>4</v>
      </c>
      <c r="N513" s="289">
        <f>(Y513*M513%)/G513*1000</f>
        <v>16000</v>
      </c>
      <c r="O513" s="302">
        <v>32.9</v>
      </c>
      <c r="P513" s="272" t="s">
        <v>294</v>
      </c>
      <c r="Q513" s="288">
        <v>1.03</v>
      </c>
      <c r="R513" s="289">
        <f>O513*xang*Q513</f>
        <v>656175.66868</v>
      </c>
      <c r="S513" s="284" t="s">
        <v>3013</v>
      </c>
      <c r="T513" s="296">
        <f>2*Nii4+Nii5</f>
        <v>462347.30769230775</v>
      </c>
      <c r="U513" s="250">
        <f>ROUND((J513+L513+N513+R513+T513),0)-1</f>
        <v>1202922</v>
      </c>
      <c r="V513" s="250">
        <v>1268973</v>
      </c>
      <c r="W513" s="250">
        <v>1202922</v>
      </c>
      <c r="X513" s="250">
        <v>1106051</v>
      </c>
      <c r="Y513" s="293">
        <v>60000</v>
      </c>
      <c r="Z513" s="294"/>
      <c r="AA513" s="251"/>
      <c r="AB513" s="251"/>
    </row>
    <row r="514" spans="1:28" s="295" customFormat="1" ht="47.25">
      <c r="A514" s="284">
        <v>430</v>
      </c>
      <c r="B514" s="284">
        <v>0</v>
      </c>
      <c r="C514" s="284" t="s">
        <v>3027</v>
      </c>
      <c r="D514" s="284" t="s">
        <v>3461</v>
      </c>
      <c r="E514" s="285" t="s">
        <v>3028</v>
      </c>
      <c r="F514" s="286" t="s">
        <v>3028</v>
      </c>
      <c r="G514" s="284">
        <v>150</v>
      </c>
      <c r="H514" s="284">
        <v>14</v>
      </c>
      <c r="I514" s="284">
        <v>0.95</v>
      </c>
      <c r="J514" s="287">
        <f>Y514*H514%*I514/G514*1000</f>
        <v>319200.00000000006</v>
      </c>
      <c r="K514" s="301">
        <v>3.2</v>
      </c>
      <c r="L514" s="289">
        <f>(Y514*K514%)/G514*1000</f>
        <v>76800</v>
      </c>
      <c r="M514" s="301">
        <v>4</v>
      </c>
      <c r="N514" s="289">
        <f>(Y514*M514%)/G514*1000</f>
        <v>96000</v>
      </c>
      <c r="O514" s="302">
        <v>5</v>
      </c>
      <c r="P514" s="272" t="s">
        <v>433</v>
      </c>
      <c r="Q514" s="288">
        <v>1.07</v>
      </c>
      <c r="R514" s="289">
        <f>O514*dien*Q514</f>
        <v>6093.650000000001</v>
      </c>
      <c r="S514" s="284" t="s">
        <v>230</v>
      </c>
      <c r="T514" s="296">
        <f>Nii4+Nii5</f>
        <v>316373.07692307694</v>
      </c>
      <c r="U514" s="250">
        <f>ROUND((J514+L514+N514+R514+T514),0)</f>
        <v>814467</v>
      </c>
      <c r="V514" s="250">
        <v>859664</v>
      </c>
      <c r="W514" s="250">
        <v>814467</v>
      </c>
      <c r="X514" s="250">
        <v>748179</v>
      </c>
      <c r="Y514" s="293">
        <v>360000</v>
      </c>
      <c r="Z514" s="294"/>
      <c r="AA514" s="251"/>
      <c r="AB514" s="251"/>
    </row>
    <row r="515" spans="1:28" s="295" customFormat="1" ht="31.5">
      <c r="A515" s="284">
        <v>431</v>
      </c>
      <c r="B515" s="284">
        <v>0</v>
      </c>
      <c r="C515" s="284" t="s">
        <v>3029</v>
      </c>
      <c r="D515" s="284" t="s">
        <v>3462</v>
      </c>
      <c r="E515" s="285" t="s">
        <v>1938</v>
      </c>
      <c r="F515" s="286" t="s">
        <v>3030</v>
      </c>
      <c r="G515" s="284">
        <v>200</v>
      </c>
      <c r="H515" s="284">
        <v>14</v>
      </c>
      <c r="I515" s="284">
        <v>0.95</v>
      </c>
      <c r="J515" s="287">
        <f>Y515*H515%*I515/G515*1000</f>
        <v>1928.5000000000002</v>
      </c>
      <c r="K515" s="301">
        <v>4</v>
      </c>
      <c r="L515" s="289">
        <f>(Y515*K515%)/G515*1000</f>
        <v>580</v>
      </c>
      <c r="M515" s="301">
        <v>4</v>
      </c>
      <c r="N515" s="289">
        <f>(Y515*M515%)/G515*1000</f>
        <v>580</v>
      </c>
      <c r="O515" s="302"/>
      <c r="P515" s="272"/>
      <c r="Q515" s="288"/>
      <c r="R515" s="300"/>
      <c r="S515" s="284"/>
      <c r="T515" s="296"/>
      <c r="U515" s="250">
        <v>3190</v>
      </c>
      <c r="V515" s="250">
        <v>3190</v>
      </c>
      <c r="W515" s="250">
        <v>3190</v>
      </c>
      <c r="X515" s="250">
        <v>3190</v>
      </c>
      <c r="Y515" s="293">
        <v>2900</v>
      </c>
      <c r="Z515" s="294"/>
      <c r="AA515" s="251"/>
      <c r="AB515" s="251"/>
    </row>
    <row r="516" spans="1:28" s="295" customFormat="1" ht="15.75">
      <c r="A516" s="297"/>
      <c r="B516" s="284"/>
      <c r="C516" s="298"/>
      <c r="D516" s="284"/>
      <c r="E516" s="272"/>
      <c r="F516" s="151" t="s">
        <v>3031</v>
      </c>
      <c r="G516" s="284"/>
      <c r="H516" s="284"/>
      <c r="I516" s="284"/>
      <c r="J516" s="299"/>
      <c r="K516" s="288"/>
      <c r="L516" s="289"/>
      <c r="M516" s="288"/>
      <c r="N516" s="300"/>
      <c r="O516" s="290"/>
      <c r="P516" s="291"/>
      <c r="Q516" s="288"/>
      <c r="R516" s="300"/>
      <c r="S516" s="292"/>
      <c r="T516" s="289"/>
      <c r="U516" s="250"/>
      <c r="V516" s="250"/>
      <c r="W516" s="250"/>
      <c r="X516" s="250"/>
      <c r="Y516" s="293"/>
      <c r="Z516" s="385"/>
      <c r="AA516" s="251"/>
      <c r="AB516" s="251"/>
    </row>
    <row r="517" spans="1:28" s="295" customFormat="1" ht="31.5">
      <c r="A517" s="284">
        <v>432</v>
      </c>
      <c r="B517" s="284">
        <v>0</v>
      </c>
      <c r="C517" s="284" t="s">
        <v>3032</v>
      </c>
      <c r="D517" s="284" t="s">
        <v>3463</v>
      </c>
      <c r="E517" s="285" t="s">
        <v>1939</v>
      </c>
      <c r="F517" s="286" t="s">
        <v>3033</v>
      </c>
      <c r="G517" s="284">
        <v>140</v>
      </c>
      <c r="H517" s="284">
        <v>14</v>
      </c>
      <c r="I517" s="284">
        <v>1</v>
      </c>
      <c r="J517" s="287">
        <f aca="true" t="shared" si="132" ref="J517:J531">Y517*H517%*I517/G517*1000</f>
        <v>7300.000000000001</v>
      </c>
      <c r="K517" s="301">
        <v>4.2</v>
      </c>
      <c r="L517" s="289">
        <f aca="true" t="shared" si="133" ref="L517:L531">(Y517*K517%)/G517*1000</f>
        <v>2190</v>
      </c>
      <c r="M517" s="301">
        <v>5</v>
      </c>
      <c r="N517" s="289">
        <f aca="true" t="shared" si="134" ref="N517:N531">(Y517*M517%)/G517*1000</f>
        <v>2607.1428571428573</v>
      </c>
      <c r="O517" s="302">
        <v>2.3</v>
      </c>
      <c r="P517" s="272" t="s">
        <v>3034</v>
      </c>
      <c r="Q517" s="288">
        <v>1.05</v>
      </c>
      <c r="R517" s="289">
        <f aca="true" t="shared" si="135" ref="R517:R531">O517*diezel*Q517</f>
        <v>46324.09529999999</v>
      </c>
      <c r="S517" s="284" t="s">
        <v>295</v>
      </c>
      <c r="T517" s="296">
        <f>Nii3</f>
        <v>125620.38461538461</v>
      </c>
      <c r="U517" s="250">
        <f>ROUND((J517+L517+N517+R517+T517),0)-1</f>
        <v>184041</v>
      </c>
      <c r="V517" s="250">
        <v>201987</v>
      </c>
      <c r="W517" s="250">
        <v>184041</v>
      </c>
      <c r="X517" s="250">
        <v>157721</v>
      </c>
      <c r="Y517" s="293">
        <v>7300</v>
      </c>
      <c r="Z517" s="294"/>
      <c r="AA517" s="251"/>
      <c r="AB517" s="251"/>
    </row>
    <row r="518" spans="1:28" s="295" customFormat="1" ht="15.75">
      <c r="A518" s="284">
        <v>433</v>
      </c>
      <c r="B518" s="284">
        <v>0</v>
      </c>
      <c r="C518" s="284" t="s">
        <v>3035</v>
      </c>
      <c r="D518" s="284" t="s">
        <v>3464</v>
      </c>
      <c r="E518" s="285" t="s">
        <v>1940</v>
      </c>
      <c r="F518" s="286" t="s">
        <v>3036</v>
      </c>
      <c r="G518" s="284">
        <v>140</v>
      </c>
      <c r="H518" s="284">
        <v>14</v>
      </c>
      <c r="I518" s="284">
        <v>0.95</v>
      </c>
      <c r="J518" s="287">
        <f t="shared" si="132"/>
        <v>23560.000000000004</v>
      </c>
      <c r="K518" s="288">
        <v>4.2</v>
      </c>
      <c r="L518" s="289">
        <f t="shared" si="133"/>
        <v>7440.000000000001</v>
      </c>
      <c r="M518" s="288">
        <v>5</v>
      </c>
      <c r="N518" s="289">
        <f t="shared" si="134"/>
        <v>8857.142857142857</v>
      </c>
      <c r="O518" s="290">
        <v>4.86</v>
      </c>
      <c r="P518" s="291" t="s">
        <v>1590</v>
      </c>
      <c r="Q518" s="288">
        <v>1.05</v>
      </c>
      <c r="R518" s="289">
        <f t="shared" si="135"/>
        <v>97884.82746</v>
      </c>
      <c r="S518" s="292" t="s">
        <v>295</v>
      </c>
      <c r="T518" s="296">
        <f>'Nhan cong'!M$38</f>
        <v>125620.38461538461</v>
      </c>
      <c r="U518" s="250">
        <f>ROUND((J518+L518+N518+R518+T518),0)</f>
        <v>263362</v>
      </c>
      <c r="V518" s="250">
        <v>281308</v>
      </c>
      <c r="W518" s="250">
        <v>263362</v>
      </c>
      <c r="X518" s="250">
        <v>237042</v>
      </c>
      <c r="Y518" s="293">
        <v>24800</v>
      </c>
      <c r="Z518" s="294"/>
      <c r="AA518" s="251"/>
      <c r="AB518" s="251"/>
    </row>
    <row r="519" spans="1:28" s="295" customFormat="1" ht="15.75">
      <c r="A519" s="284">
        <v>434</v>
      </c>
      <c r="B519" s="284">
        <v>0</v>
      </c>
      <c r="C519" s="284" t="s">
        <v>3037</v>
      </c>
      <c r="D519" s="284" t="s">
        <v>3465</v>
      </c>
      <c r="E519" s="285" t="s">
        <v>1941</v>
      </c>
      <c r="F519" s="286" t="s">
        <v>3038</v>
      </c>
      <c r="G519" s="284">
        <v>140</v>
      </c>
      <c r="H519" s="284">
        <v>14</v>
      </c>
      <c r="I519" s="284">
        <v>0.95</v>
      </c>
      <c r="J519" s="287">
        <f t="shared" si="132"/>
        <v>28880</v>
      </c>
      <c r="K519" s="288">
        <v>4.2</v>
      </c>
      <c r="L519" s="289">
        <f t="shared" si="133"/>
        <v>9120.000000000002</v>
      </c>
      <c r="M519" s="288">
        <v>5</v>
      </c>
      <c r="N519" s="289">
        <f t="shared" si="134"/>
        <v>10857.142857142857</v>
      </c>
      <c r="O519" s="290">
        <v>7.56</v>
      </c>
      <c r="P519" s="291" t="s">
        <v>1590</v>
      </c>
      <c r="Q519" s="288">
        <v>1.05</v>
      </c>
      <c r="R519" s="289">
        <f t="shared" si="135"/>
        <v>152265.28716</v>
      </c>
      <c r="S519" s="292" t="s">
        <v>295</v>
      </c>
      <c r="T519" s="296">
        <f>'Nhan cong'!M$38</f>
        <v>125620.38461538461</v>
      </c>
      <c r="U519" s="250">
        <f>ROUND((J519+L519+N519+R519+T519),0)-1</f>
        <v>326742</v>
      </c>
      <c r="V519" s="250">
        <v>344688</v>
      </c>
      <c r="W519" s="250">
        <v>326742</v>
      </c>
      <c r="X519" s="250">
        <v>300422</v>
      </c>
      <c r="Y519" s="293">
        <v>30400</v>
      </c>
      <c r="Z519" s="294"/>
      <c r="AA519" s="251"/>
      <c r="AB519" s="251"/>
    </row>
    <row r="520" spans="1:28" s="295" customFormat="1" ht="15.75">
      <c r="A520" s="284">
        <v>435</v>
      </c>
      <c r="B520" s="284">
        <v>0</v>
      </c>
      <c r="C520" s="284" t="s">
        <v>3039</v>
      </c>
      <c r="D520" s="284" t="s">
        <v>3466</v>
      </c>
      <c r="E520" s="285" t="s">
        <v>1942</v>
      </c>
      <c r="F520" s="286" t="s">
        <v>1106</v>
      </c>
      <c r="G520" s="284">
        <v>140</v>
      </c>
      <c r="H520" s="284">
        <v>14</v>
      </c>
      <c r="I520" s="284">
        <v>0.95</v>
      </c>
      <c r="J520" s="287">
        <f t="shared" si="132"/>
        <v>45315.00000000001</v>
      </c>
      <c r="K520" s="288">
        <v>4.2</v>
      </c>
      <c r="L520" s="289">
        <f t="shared" si="133"/>
        <v>14310</v>
      </c>
      <c r="M520" s="288">
        <v>5</v>
      </c>
      <c r="N520" s="289">
        <f t="shared" si="134"/>
        <v>17035.714285714286</v>
      </c>
      <c r="O520" s="290">
        <v>10.8</v>
      </c>
      <c r="P520" s="291" t="s">
        <v>1590</v>
      </c>
      <c r="Q520" s="288">
        <v>1.05</v>
      </c>
      <c r="R520" s="289">
        <f t="shared" si="135"/>
        <v>217521.83880000003</v>
      </c>
      <c r="S520" s="292" t="s">
        <v>295</v>
      </c>
      <c r="T520" s="296">
        <f>'Nhan cong'!M$38</f>
        <v>125620.38461538461</v>
      </c>
      <c r="U520" s="250">
        <f>ROUND((J520+L520+N520+R520+T520),0)-1</f>
        <v>419802</v>
      </c>
      <c r="V520" s="250">
        <v>437749</v>
      </c>
      <c r="W520" s="250">
        <v>419802</v>
      </c>
      <c r="X520" s="250">
        <v>393483</v>
      </c>
      <c r="Y520" s="293">
        <v>47700</v>
      </c>
      <c r="Z520" s="294"/>
      <c r="AA520" s="251"/>
      <c r="AB520" s="251"/>
    </row>
    <row r="521" spans="1:28" s="295" customFormat="1" ht="15.75">
      <c r="A521" s="284">
        <v>436</v>
      </c>
      <c r="B521" s="284">
        <v>0</v>
      </c>
      <c r="C521" s="284" t="s">
        <v>3040</v>
      </c>
      <c r="D521" s="284" t="s">
        <v>3467</v>
      </c>
      <c r="E521" s="285" t="s">
        <v>1943</v>
      </c>
      <c r="F521" s="286" t="s">
        <v>3041</v>
      </c>
      <c r="G521" s="284">
        <v>140</v>
      </c>
      <c r="H521" s="284">
        <v>13</v>
      </c>
      <c r="I521" s="284">
        <v>0.95</v>
      </c>
      <c r="J521" s="287">
        <f t="shared" si="132"/>
        <v>50282.142857142855</v>
      </c>
      <c r="K521" s="288">
        <v>3.9</v>
      </c>
      <c r="L521" s="289">
        <f t="shared" si="133"/>
        <v>15878.571428571428</v>
      </c>
      <c r="M521" s="288">
        <v>5</v>
      </c>
      <c r="N521" s="289">
        <f t="shared" si="134"/>
        <v>20357.14285714286</v>
      </c>
      <c r="O521" s="290">
        <v>13.5</v>
      </c>
      <c r="P521" s="291" t="s">
        <v>1590</v>
      </c>
      <c r="Q521" s="288">
        <v>1.05</v>
      </c>
      <c r="R521" s="289">
        <f t="shared" si="135"/>
        <v>271902.29850000003</v>
      </c>
      <c r="S521" s="292" t="s">
        <v>295</v>
      </c>
      <c r="T521" s="296">
        <f>'Nhan cong'!M$38</f>
        <v>125620.38461538461</v>
      </c>
      <c r="U521" s="250">
        <f>ROUND((J521+L521+N521+R521+T521),0)-1</f>
        <v>484040</v>
      </c>
      <c r="V521" s="250">
        <v>501986</v>
      </c>
      <c r="W521" s="250">
        <v>484040</v>
      </c>
      <c r="X521" s="250">
        <v>457720</v>
      </c>
      <c r="Y521" s="293">
        <v>57000</v>
      </c>
      <c r="Z521" s="294"/>
      <c r="AA521" s="251"/>
      <c r="AB521" s="251"/>
    </row>
    <row r="522" spans="1:28" s="295" customFormat="1" ht="15.75">
      <c r="A522" s="284">
        <v>437</v>
      </c>
      <c r="B522" s="284">
        <v>0</v>
      </c>
      <c r="C522" s="284" t="s">
        <v>3042</v>
      </c>
      <c r="D522" s="284" t="s">
        <v>3468</v>
      </c>
      <c r="E522" s="285" t="s">
        <v>1944</v>
      </c>
      <c r="F522" s="286" t="s">
        <v>1278</v>
      </c>
      <c r="G522" s="284">
        <v>140</v>
      </c>
      <c r="H522" s="284">
        <v>13</v>
      </c>
      <c r="I522" s="284">
        <v>0.95</v>
      </c>
      <c r="J522" s="287">
        <f t="shared" si="132"/>
        <v>68454.28571428571</v>
      </c>
      <c r="K522" s="288">
        <v>3.9</v>
      </c>
      <c r="L522" s="289">
        <f t="shared" si="133"/>
        <v>21617.14285714286</v>
      </c>
      <c r="M522" s="288">
        <v>5</v>
      </c>
      <c r="N522" s="289">
        <f t="shared" si="134"/>
        <v>27714.285714285714</v>
      </c>
      <c r="O522" s="290">
        <v>19.2</v>
      </c>
      <c r="P522" s="291" t="s">
        <v>1590</v>
      </c>
      <c r="Q522" s="288">
        <v>1.05</v>
      </c>
      <c r="R522" s="289">
        <f t="shared" si="135"/>
        <v>386705.4912</v>
      </c>
      <c r="S522" s="292" t="s">
        <v>295</v>
      </c>
      <c r="T522" s="296">
        <f>'Nhan cong'!M$38</f>
        <v>125620.38461538461</v>
      </c>
      <c r="U522" s="250">
        <f>ROUND((J522+L522+N522+R522+T522),0)-1</f>
        <v>630111</v>
      </c>
      <c r="V522" s="250">
        <v>648057</v>
      </c>
      <c r="W522" s="250">
        <v>630111</v>
      </c>
      <c r="X522" s="250">
        <v>603791</v>
      </c>
      <c r="Y522" s="293">
        <v>77600</v>
      </c>
      <c r="Z522" s="294"/>
      <c r="AA522" s="251"/>
      <c r="AB522" s="251"/>
    </row>
    <row r="523" spans="1:28" s="295" customFormat="1" ht="15.75">
      <c r="A523" s="284">
        <v>438</v>
      </c>
      <c r="B523" s="284">
        <v>0</v>
      </c>
      <c r="C523" s="284" t="s">
        <v>1279</v>
      </c>
      <c r="D523" s="284" t="s">
        <v>3469</v>
      </c>
      <c r="E523" s="285" t="s">
        <v>1945</v>
      </c>
      <c r="F523" s="286" t="s">
        <v>1280</v>
      </c>
      <c r="G523" s="284">
        <v>140</v>
      </c>
      <c r="H523" s="284">
        <v>13</v>
      </c>
      <c r="I523" s="284">
        <v>0.95</v>
      </c>
      <c r="J523" s="287">
        <f t="shared" si="132"/>
        <v>78863.57142857143</v>
      </c>
      <c r="K523" s="288">
        <v>3.9</v>
      </c>
      <c r="L523" s="289">
        <f t="shared" si="133"/>
        <v>24904.285714285714</v>
      </c>
      <c r="M523" s="288">
        <v>5</v>
      </c>
      <c r="N523" s="289">
        <f t="shared" si="134"/>
        <v>31928.571428571428</v>
      </c>
      <c r="O523" s="290">
        <v>21.6</v>
      </c>
      <c r="P523" s="291" t="s">
        <v>1590</v>
      </c>
      <c r="Q523" s="288">
        <v>1.05</v>
      </c>
      <c r="R523" s="289">
        <f t="shared" si="135"/>
        <v>435043.67760000005</v>
      </c>
      <c r="S523" s="292" t="s">
        <v>295</v>
      </c>
      <c r="T523" s="296">
        <f>'Nhan cong'!M$38</f>
        <v>125620.38461538461</v>
      </c>
      <c r="U523" s="250">
        <f>ROUND((J523+L523+N523+R523+T523),0)</f>
        <v>696360</v>
      </c>
      <c r="V523" s="250">
        <v>714306</v>
      </c>
      <c r="W523" s="250">
        <v>696360</v>
      </c>
      <c r="X523" s="250">
        <v>670040</v>
      </c>
      <c r="Y523" s="293">
        <v>89400</v>
      </c>
      <c r="Z523" s="294"/>
      <c r="AA523" s="251"/>
      <c r="AB523" s="251"/>
    </row>
    <row r="524" spans="1:28" s="295" customFormat="1" ht="15.75">
      <c r="A524" s="284">
        <v>439</v>
      </c>
      <c r="B524" s="284" t="s">
        <v>632</v>
      </c>
      <c r="C524" s="284" t="s">
        <v>1281</v>
      </c>
      <c r="D524" s="284" t="s">
        <v>3470</v>
      </c>
      <c r="E524" s="285" t="s">
        <v>1946</v>
      </c>
      <c r="F524" s="286" t="s">
        <v>1282</v>
      </c>
      <c r="G524" s="284">
        <v>140</v>
      </c>
      <c r="H524" s="284">
        <v>13</v>
      </c>
      <c r="I524" s="284">
        <v>0.95</v>
      </c>
      <c r="J524" s="287">
        <f t="shared" si="132"/>
        <v>90154.99999999999</v>
      </c>
      <c r="K524" s="288">
        <v>3.9</v>
      </c>
      <c r="L524" s="289">
        <f t="shared" si="133"/>
        <v>28470.000000000004</v>
      </c>
      <c r="M524" s="288">
        <v>5</v>
      </c>
      <c r="N524" s="289">
        <f t="shared" si="134"/>
        <v>36500</v>
      </c>
      <c r="O524" s="290">
        <v>24</v>
      </c>
      <c r="P524" s="291" t="s">
        <v>1590</v>
      </c>
      <c r="Q524" s="288">
        <v>1.05</v>
      </c>
      <c r="R524" s="289">
        <f t="shared" si="135"/>
        <v>483381.864</v>
      </c>
      <c r="S524" s="292" t="s">
        <v>295</v>
      </c>
      <c r="T524" s="296">
        <f>'Nhan cong'!M$38</f>
        <v>125620.38461538461</v>
      </c>
      <c r="U524" s="250">
        <f>ROUND((J524+L524+N524+R524+T524),0)</f>
        <v>764127</v>
      </c>
      <c r="V524" s="250">
        <v>782073</v>
      </c>
      <c r="W524" s="250">
        <v>764127</v>
      </c>
      <c r="X524" s="250">
        <v>737807</v>
      </c>
      <c r="Y524" s="293">
        <v>102200</v>
      </c>
      <c r="Z524" s="294"/>
      <c r="AA524" s="251"/>
      <c r="AB524" s="251"/>
    </row>
    <row r="525" spans="1:28" s="295" customFormat="1" ht="15.75">
      <c r="A525" s="284">
        <v>440</v>
      </c>
      <c r="B525" s="284">
        <v>0</v>
      </c>
      <c r="C525" s="284" t="s">
        <v>1283</v>
      </c>
      <c r="D525" s="284" t="s">
        <v>3471</v>
      </c>
      <c r="E525" s="285" t="s">
        <v>1947</v>
      </c>
      <c r="F525" s="286" t="s">
        <v>1284</v>
      </c>
      <c r="G525" s="284">
        <v>140</v>
      </c>
      <c r="H525" s="284">
        <v>13</v>
      </c>
      <c r="I525" s="284">
        <v>0.95</v>
      </c>
      <c r="J525" s="287">
        <f t="shared" si="132"/>
        <v>109562.14285714284</v>
      </c>
      <c r="K525" s="288">
        <v>3.9</v>
      </c>
      <c r="L525" s="289">
        <f t="shared" si="133"/>
        <v>34598.571428571435</v>
      </c>
      <c r="M525" s="288">
        <v>5</v>
      </c>
      <c r="N525" s="289">
        <f t="shared" si="134"/>
        <v>44357.142857142855</v>
      </c>
      <c r="O525" s="290">
        <v>28.8</v>
      </c>
      <c r="P525" s="291" t="s">
        <v>1590</v>
      </c>
      <c r="Q525" s="288">
        <v>1.05</v>
      </c>
      <c r="R525" s="289">
        <f t="shared" si="135"/>
        <v>580058.2368</v>
      </c>
      <c r="S525" s="292" t="s">
        <v>295</v>
      </c>
      <c r="T525" s="296">
        <f>'Nhan cong'!M$38</f>
        <v>125620.38461538461</v>
      </c>
      <c r="U525" s="250">
        <f>ROUND((J525+L525+N525+R525+T525),0)</f>
        <v>894196</v>
      </c>
      <c r="V525" s="250">
        <v>912142</v>
      </c>
      <c r="W525" s="250">
        <v>894196</v>
      </c>
      <c r="X525" s="250">
        <v>867876</v>
      </c>
      <c r="Y525" s="293">
        <v>124200</v>
      </c>
      <c r="Z525" s="294"/>
      <c r="AA525" s="251"/>
      <c r="AB525" s="251"/>
    </row>
    <row r="526" spans="1:28" s="295" customFormat="1" ht="15.75">
      <c r="A526" s="284">
        <v>441</v>
      </c>
      <c r="B526" s="284">
        <v>0</v>
      </c>
      <c r="C526" s="284" t="s">
        <v>1285</v>
      </c>
      <c r="D526" s="284" t="s">
        <v>3472</v>
      </c>
      <c r="E526" s="285" t="s">
        <v>1948</v>
      </c>
      <c r="F526" s="286" t="s">
        <v>1286</v>
      </c>
      <c r="G526" s="284">
        <v>140</v>
      </c>
      <c r="H526" s="284">
        <v>13</v>
      </c>
      <c r="I526" s="284">
        <v>0.95</v>
      </c>
      <c r="J526" s="287">
        <f t="shared" si="132"/>
        <v>119706.78571428571</v>
      </c>
      <c r="K526" s="288">
        <v>3.9</v>
      </c>
      <c r="L526" s="289">
        <f t="shared" si="133"/>
        <v>37802.14285714286</v>
      </c>
      <c r="M526" s="288">
        <v>5</v>
      </c>
      <c r="N526" s="289">
        <f t="shared" si="134"/>
        <v>48464.28571428572</v>
      </c>
      <c r="O526" s="290">
        <v>31.2</v>
      </c>
      <c r="P526" s="291" t="s">
        <v>1590</v>
      </c>
      <c r="Q526" s="288">
        <v>1.05</v>
      </c>
      <c r="R526" s="289">
        <f t="shared" si="135"/>
        <v>628396.4232</v>
      </c>
      <c r="S526" s="292" t="s">
        <v>295</v>
      </c>
      <c r="T526" s="296">
        <f>'Nhan cong'!M$38</f>
        <v>125620.38461538461</v>
      </c>
      <c r="U526" s="250">
        <f aca="true" t="shared" si="136" ref="U526:U531">ROUND((J526+L526+N526+R526+T526),0)-1</f>
        <v>959989</v>
      </c>
      <c r="V526" s="250">
        <v>977936</v>
      </c>
      <c r="W526" s="250">
        <v>959989</v>
      </c>
      <c r="X526" s="250">
        <v>933670</v>
      </c>
      <c r="Y526" s="293">
        <v>135700</v>
      </c>
      <c r="Z526" s="294"/>
      <c r="AA526" s="251"/>
      <c r="AB526" s="251"/>
    </row>
    <row r="527" spans="1:28" s="295" customFormat="1" ht="15.75">
      <c r="A527" s="284">
        <v>442</v>
      </c>
      <c r="B527" s="284" t="s">
        <v>633</v>
      </c>
      <c r="C527" s="284" t="s">
        <v>1287</v>
      </c>
      <c r="D527" s="284" t="s">
        <v>3473</v>
      </c>
      <c r="E527" s="285" t="s">
        <v>1949</v>
      </c>
      <c r="F527" s="286" t="s">
        <v>1288</v>
      </c>
      <c r="G527" s="284">
        <v>140</v>
      </c>
      <c r="H527" s="284">
        <v>13</v>
      </c>
      <c r="I527" s="284">
        <v>0.95</v>
      </c>
      <c r="J527" s="287">
        <f t="shared" si="132"/>
        <v>133027.14285714284</v>
      </c>
      <c r="K527" s="288">
        <v>3.9</v>
      </c>
      <c r="L527" s="289">
        <f t="shared" si="133"/>
        <v>42008.57142857143</v>
      </c>
      <c r="M527" s="288">
        <v>5</v>
      </c>
      <c r="N527" s="289">
        <f t="shared" si="134"/>
        <v>53857.142857142855</v>
      </c>
      <c r="O527" s="290">
        <v>36</v>
      </c>
      <c r="P527" s="291" t="s">
        <v>1590</v>
      </c>
      <c r="Q527" s="288">
        <v>1.05</v>
      </c>
      <c r="R527" s="289">
        <f t="shared" si="135"/>
        <v>725072.7960000001</v>
      </c>
      <c r="S527" s="292" t="s">
        <v>295</v>
      </c>
      <c r="T527" s="296">
        <f>'Nhan cong'!M$38</f>
        <v>125620.38461538461</v>
      </c>
      <c r="U527" s="250">
        <f t="shared" si="136"/>
        <v>1079585</v>
      </c>
      <c r="V527" s="250">
        <v>1097532</v>
      </c>
      <c r="W527" s="250">
        <v>1079585</v>
      </c>
      <c r="X527" s="250">
        <v>1053266</v>
      </c>
      <c r="Y527" s="293">
        <v>150800</v>
      </c>
      <c r="Z527" s="294"/>
      <c r="AA527" s="251"/>
      <c r="AB527" s="251"/>
    </row>
    <row r="528" spans="1:28" s="295" customFormat="1" ht="15.75">
      <c r="A528" s="284">
        <v>443</v>
      </c>
      <c r="B528" s="284">
        <v>0</v>
      </c>
      <c r="C528" s="284" t="s">
        <v>1289</v>
      </c>
      <c r="D528" s="284" t="s">
        <v>3474</v>
      </c>
      <c r="E528" s="285" t="s">
        <v>1950</v>
      </c>
      <c r="F528" s="286" t="s">
        <v>1290</v>
      </c>
      <c r="G528" s="284">
        <v>140</v>
      </c>
      <c r="H528" s="284">
        <v>12</v>
      </c>
      <c r="I528" s="284">
        <v>0.95</v>
      </c>
      <c r="J528" s="287">
        <f t="shared" si="132"/>
        <v>148444.2857142857</v>
      </c>
      <c r="K528" s="288">
        <v>3.6</v>
      </c>
      <c r="L528" s="289">
        <f t="shared" si="133"/>
        <v>46877.14285714286</v>
      </c>
      <c r="M528" s="288">
        <v>5</v>
      </c>
      <c r="N528" s="289">
        <f t="shared" si="134"/>
        <v>65107.14285714286</v>
      </c>
      <c r="O528" s="290">
        <v>40.5</v>
      </c>
      <c r="P528" s="291" t="s">
        <v>1590</v>
      </c>
      <c r="Q528" s="288">
        <v>1.05</v>
      </c>
      <c r="R528" s="289">
        <f t="shared" si="135"/>
        <v>815706.8955</v>
      </c>
      <c r="S528" s="292" t="s">
        <v>295</v>
      </c>
      <c r="T528" s="296">
        <f>'Nhan cong'!M$38</f>
        <v>125620.38461538461</v>
      </c>
      <c r="U528" s="250">
        <f t="shared" si="136"/>
        <v>1201755</v>
      </c>
      <c r="V528" s="250">
        <v>1219701</v>
      </c>
      <c r="W528" s="250">
        <v>1201755</v>
      </c>
      <c r="X528" s="250">
        <v>1175435</v>
      </c>
      <c r="Y528" s="293">
        <v>182300</v>
      </c>
      <c r="Z528" s="294"/>
      <c r="AA528" s="251"/>
      <c r="AB528" s="251"/>
    </row>
    <row r="529" spans="1:28" s="295" customFormat="1" ht="15.75">
      <c r="A529" s="284">
        <v>444</v>
      </c>
      <c r="B529" s="284" t="s">
        <v>634</v>
      </c>
      <c r="C529" s="284" t="s">
        <v>1291</v>
      </c>
      <c r="D529" s="284" t="s">
        <v>3475</v>
      </c>
      <c r="E529" s="285" t="s">
        <v>1951</v>
      </c>
      <c r="F529" s="286" t="s">
        <v>1292</v>
      </c>
      <c r="G529" s="284">
        <v>140</v>
      </c>
      <c r="H529" s="284">
        <v>12</v>
      </c>
      <c r="I529" s="284">
        <v>0.95</v>
      </c>
      <c r="J529" s="287">
        <f t="shared" si="132"/>
        <v>173931.42857142858</v>
      </c>
      <c r="K529" s="288">
        <v>3.6</v>
      </c>
      <c r="L529" s="289">
        <f t="shared" si="133"/>
        <v>54925.71428571429</v>
      </c>
      <c r="M529" s="288">
        <v>5</v>
      </c>
      <c r="N529" s="289">
        <f t="shared" si="134"/>
        <v>76285.71428571429</v>
      </c>
      <c r="O529" s="290">
        <v>45</v>
      </c>
      <c r="P529" s="291" t="s">
        <v>1590</v>
      </c>
      <c r="Q529" s="288">
        <v>1.05</v>
      </c>
      <c r="R529" s="289">
        <f t="shared" si="135"/>
        <v>906340.9950000001</v>
      </c>
      <c r="S529" s="292" t="s">
        <v>1591</v>
      </c>
      <c r="T529" s="289">
        <f>'Nhan cong'!$M$42</f>
        <v>145974.23076923078</v>
      </c>
      <c r="U529" s="250">
        <f t="shared" si="136"/>
        <v>1357457</v>
      </c>
      <c r="V529" s="250">
        <v>1378312</v>
      </c>
      <c r="W529" s="250">
        <v>1357457</v>
      </c>
      <c r="X529" s="250">
        <v>1326873</v>
      </c>
      <c r="Y529" s="293">
        <v>213600</v>
      </c>
      <c r="Z529" s="294"/>
      <c r="AA529" s="251"/>
      <c r="AB529" s="251"/>
    </row>
    <row r="530" spans="1:28" s="295" customFormat="1" ht="15.75">
      <c r="A530" s="284">
        <v>445</v>
      </c>
      <c r="B530" s="284">
        <v>0</v>
      </c>
      <c r="C530" s="284" t="s">
        <v>1293</v>
      </c>
      <c r="D530" s="284" t="s">
        <v>3476</v>
      </c>
      <c r="E530" s="285" t="s">
        <v>1952</v>
      </c>
      <c r="F530" s="286" t="s">
        <v>1294</v>
      </c>
      <c r="G530" s="284">
        <v>140</v>
      </c>
      <c r="H530" s="284">
        <v>11</v>
      </c>
      <c r="I530" s="284">
        <v>0.95</v>
      </c>
      <c r="J530" s="287">
        <f t="shared" si="132"/>
        <v>208776.07142857142</v>
      </c>
      <c r="K530" s="288">
        <v>3.3</v>
      </c>
      <c r="L530" s="289">
        <f t="shared" si="133"/>
        <v>65929.28571428571</v>
      </c>
      <c r="M530" s="288">
        <v>5</v>
      </c>
      <c r="N530" s="289">
        <f t="shared" si="134"/>
        <v>99892.85714285714</v>
      </c>
      <c r="O530" s="290">
        <v>68.25</v>
      </c>
      <c r="P530" s="291" t="s">
        <v>1590</v>
      </c>
      <c r="Q530" s="288">
        <v>1.05</v>
      </c>
      <c r="R530" s="289">
        <f t="shared" si="135"/>
        <v>1374617.1757500002</v>
      </c>
      <c r="S530" s="292" t="s">
        <v>1591</v>
      </c>
      <c r="T530" s="289">
        <f>'Nhan cong'!$M$42</f>
        <v>145974.23076923078</v>
      </c>
      <c r="U530" s="250">
        <f t="shared" si="136"/>
        <v>1895189</v>
      </c>
      <c r="V530" s="250">
        <v>1916043</v>
      </c>
      <c r="W530" s="250">
        <v>1895189</v>
      </c>
      <c r="X530" s="250">
        <v>1864604</v>
      </c>
      <c r="Y530" s="293">
        <v>279700</v>
      </c>
      <c r="Z530" s="294"/>
      <c r="AA530" s="251"/>
      <c r="AB530" s="251"/>
    </row>
    <row r="531" spans="1:28" s="295" customFormat="1" ht="15.75">
      <c r="A531" s="284">
        <v>446</v>
      </c>
      <c r="B531" s="284">
        <v>0</v>
      </c>
      <c r="C531" s="284" t="s">
        <v>1295</v>
      </c>
      <c r="D531" s="284" t="s">
        <v>3477</v>
      </c>
      <c r="E531" s="285" t="s">
        <v>106</v>
      </c>
      <c r="F531" s="286" t="s">
        <v>1296</v>
      </c>
      <c r="G531" s="284">
        <v>140</v>
      </c>
      <c r="H531" s="284">
        <v>11</v>
      </c>
      <c r="I531" s="284">
        <v>0.95</v>
      </c>
      <c r="J531" s="287">
        <f t="shared" si="132"/>
        <v>218554.2857142857</v>
      </c>
      <c r="K531" s="288">
        <v>3.3</v>
      </c>
      <c r="L531" s="289">
        <f t="shared" si="133"/>
        <v>69017.14285714286</v>
      </c>
      <c r="M531" s="288">
        <v>5</v>
      </c>
      <c r="N531" s="289">
        <f t="shared" si="134"/>
        <v>104571.42857142857</v>
      </c>
      <c r="O531" s="290">
        <v>75.62</v>
      </c>
      <c r="P531" s="291" t="s">
        <v>1590</v>
      </c>
      <c r="Q531" s="288">
        <v>1.05</v>
      </c>
      <c r="R531" s="289">
        <f t="shared" si="135"/>
        <v>1523055.6898200002</v>
      </c>
      <c r="S531" s="292" t="s">
        <v>1591</v>
      </c>
      <c r="T531" s="289">
        <f>'Nhan cong'!$M$42</f>
        <v>145974.23076923078</v>
      </c>
      <c r="U531" s="250">
        <f t="shared" si="136"/>
        <v>2061172</v>
      </c>
      <c r="V531" s="250">
        <v>2082026</v>
      </c>
      <c r="W531" s="250">
        <v>2061172</v>
      </c>
      <c r="X531" s="250">
        <v>2030587</v>
      </c>
      <c r="Y531" s="293">
        <v>292800</v>
      </c>
      <c r="Z531" s="294"/>
      <c r="AA531" s="251"/>
      <c r="AB531" s="251"/>
    </row>
    <row r="532" spans="1:28" s="295" customFormat="1" ht="15.75">
      <c r="A532" s="297"/>
      <c r="B532" s="284"/>
      <c r="C532" s="298"/>
      <c r="D532" s="284"/>
      <c r="E532" s="272"/>
      <c r="F532" s="151" t="s">
        <v>1297</v>
      </c>
      <c r="G532" s="284"/>
      <c r="H532" s="284"/>
      <c r="I532" s="284"/>
      <c r="J532" s="299"/>
      <c r="K532" s="288"/>
      <c r="L532" s="289"/>
      <c r="M532" s="288"/>
      <c r="N532" s="300"/>
      <c r="O532" s="290"/>
      <c r="P532" s="291"/>
      <c r="Q532" s="288"/>
      <c r="R532" s="300"/>
      <c r="S532" s="292"/>
      <c r="T532" s="289"/>
      <c r="U532" s="250"/>
      <c r="V532" s="250"/>
      <c r="W532" s="250"/>
      <c r="X532" s="250"/>
      <c r="Y532" s="293"/>
      <c r="Z532" s="385"/>
      <c r="AA532" s="251"/>
      <c r="AB532" s="251"/>
    </row>
    <row r="533" spans="1:28" s="295" customFormat="1" ht="15.75">
      <c r="A533" s="284">
        <v>447</v>
      </c>
      <c r="B533" s="284">
        <v>0</v>
      </c>
      <c r="C533" s="284" t="s">
        <v>1298</v>
      </c>
      <c r="D533" s="284" t="s">
        <v>3478</v>
      </c>
      <c r="E533" s="285" t="s">
        <v>1953</v>
      </c>
      <c r="F533" s="286" t="s">
        <v>1299</v>
      </c>
      <c r="G533" s="284">
        <v>150</v>
      </c>
      <c r="H533" s="284">
        <v>13</v>
      </c>
      <c r="I533" s="284">
        <v>1</v>
      </c>
      <c r="J533" s="287">
        <f aca="true" t="shared" si="137" ref="J533:J540">Y533*H533%*I533/G533*1000</f>
        <v>4073.333333333333</v>
      </c>
      <c r="K533" s="288">
        <v>5.46</v>
      </c>
      <c r="L533" s="289">
        <f aca="true" t="shared" si="138" ref="L533:L540">(Y533*K533%)/G533*1000</f>
        <v>1710.8000000000002</v>
      </c>
      <c r="M533" s="288">
        <v>5</v>
      </c>
      <c r="N533" s="289">
        <f aca="true" t="shared" si="139" ref="N533:N540">(Y533*M533%)/G533*1000</f>
        <v>1566.6666666666667</v>
      </c>
      <c r="O533" s="290">
        <v>0.63</v>
      </c>
      <c r="P533" s="291" t="s">
        <v>294</v>
      </c>
      <c r="Q533" s="288">
        <v>1.03</v>
      </c>
      <c r="R533" s="289">
        <f aca="true" t="shared" si="140" ref="R533:R540">O533*xang*Q533</f>
        <v>12565.065996</v>
      </c>
      <c r="S533" s="292" t="s">
        <v>1591</v>
      </c>
      <c r="T533" s="289">
        <f>'Nhan cong'!$M$42</f>
        <v>145974.23076923078</v>
      </c>
      <c r="U533" s="250">
        <f aca="true" t="shared" si="141" ref="U533:U538">ROUND((J533+L533+N533+R533+T533),0)</f>
        <v>165890</v>
      </c>
      <c r="V533" s="250">
        <v>186744</v>
      </c>
      <c r="W533" s="250">
        <v>165890</v>
      </c>
      <c r="X533" s="250">
        <v>135305</v>
      </c>
      <c r="Y533" s="293">
        <v>4700</v>
      </c>
      <c r="Z533" s="294"/>
      <c r="AA533" s="251"/>
      <c r="AB533" s="251"/>
    </row>
    <row r="534" spans="1:28" s="295" customFormat="1" ht="15.75">
      <c r="A534" s="284">
        <v>448</v>
      </c>
      <c r="B534" s="284">
        <v>0</v>
      </c>
      <c r="C534" s="284" t="s">
        <v>1300</v>
      </c>
      <c r="D534" s="284" t="s">
        <v>3479</v>
      </c>
      <c r="E534" s="285" t="s">
        <v>1954</v>
      </c>
      <c r="F534" s="286" t="s">
        <v>1230</v>
      </c>
      <c r="G534" s="284">
        <v>150</v>
      </c>
      <c r="H534" s="284">
        <v>13</v>
      </c>
      <c r="I534" s="284">
        <v>1</v>
      </c>
      <c r="J534" s="287">
        <f t="shared" si="137"/>
        <v>6066.666666666666</v>
      </c>
      <c r="K534" s="288">
        <v>5.46</v>
      </c>
      <c r="L534" s="289">
        <f t="shared" si="138"/>
        <v>2548.0000000000005</v>
      </c>
      <c r="M534" s="288">
        <v>5</v>
      </c>
      <c r="N534" s="289">
        <f t="shared" si="139"/>
        <v>2333.3333333333335</v>
      </c>
      <c r="O534" s="290">
        <v>1.8</v>
      </c>
      <c r="P534" s="291" t="s">
        <v>294</v>
      </c>
      <c r="Q534" s="288">
        <v>1.03</v>
      </c>
      <c r="R534" s="289">
        <f t="shared" si="140"/>
        <v>35900.18856</v>
      </c>
      <c r="S534" s="292" t="s">
        <v>1591</v>
      </c>
      <c r="T534" s="289">
        <f>'Nhan cong'!$M$42</f>
        <v>145974.23076923078</v>
      </c>
      <c r="U534" s="250">
        <f t="shared" si="141"/>
        <v>192822</v>
      </c>
      <c r="V534" s="250">
        <v>213676</v>
      </c>
      <c r="W534" s="250">
        <v>192822</v>
      </c>
      <c r="X534" s="250">
        <v>162237</v>
      </c>
      <c r="Y534" s="293">
        <v>7000</v>
      </c>
      <c r="Z534" s="294"/>
      <c r="AA534" s="251"/>
      <c r="AB534" s="251"/>
    </row>
    <row r="535" spans="1:28" s="295" customFormat="1" ht="15.75">
      <c r="A535" s="284">
        <v>449</v>
      </c>
      <c r="B535" s="284">
        <v>0</v>
      </c>
      <c r="C535" s="284" t="s">
        <v>1301</v>
      </c>
      <c r="D535" s="284" t="s">
        <v>3480</v>
      </c>
      <c r="E535" s="285" t="s">
        <v>1955</v>
      </c>
      <c r="F535" s="286" t="s">
        <v>1160</v>
      </c>
      <c r="G535" s="284">
        <v>150</v>
      </c>
      <c r="H535" s="284">
        <v>13</v>
      </c>
      <c r="I535" s="284">
        <v>1</v>
      </c>
      <c r="J535" s="287">
        <f t="shared" si="137"/>
        <v>11613.333333333334</v>
      </c>
      <c r="K535" s="288">
        <v>5.46</v>
      </c>
      <c r="L535" s="289">
        <f t="shared" si="138"/>
        <v>4877.6</v>
      </c>
      <c r="M535" s="288">
        <v>5</v>
      </c>
      <c r="N535" s="289">
        <f t="shared" si="139"/>
        <v>4466.666666666667</v>
      </c>
      <c r="O535" s="290">
        <v>2.88</v>
      </c>
      <c r="P535" s="291" t="s">
        <v>294</v>
      </c>
      <c r="Q535" s="288">
        <v>1.03</v>
      </c>
      <c r="R535" s="289">
        <f t="shared" si="140"/>
        <v>57440.301696</v>
      </c>
      <c r="S535" s="292" t="s">
        <v>1591</v>
      </c>
      <c r="T535" s="289">
        <f>'Nhan cong'!$M$42</f>
        <v>145974.23076923078</v>
      </c>
      <c r="U535" s="250">
        <f t="shared" si="141"/>
        <v>224372</v>
      </c>
      <c r="V535" s="250">
        <v>244645</v>
      </c>
      <c r="W535" s="250">
        <v>223791</v>
      </c>
      <c r="X535" s="250">
        <v>193206</v>
      </c>
      <c r="Y535" s="293">
        <v>13400</v>
      </c>
      <c r="Z535" s="294"/>
      <c r="AA535" s="251"/>
      <c r="AB535" s="251"/>
    </row>
    <row r="536" spans="1:28" s="295" customFormat="1" ht="15.75">
      <c r="A536" s="284">
        <v>450</v>
      </c>
      <c r="B536" s="284">
        <v>0</v>
      </c>
      <c r="C536" s="284" t="s">
        <v>1302</v>
      </c>
      <c r="D536" s="284" t="s">
        <v>3481</v>
      </c>
      <c r="E536" s="285" t="s">
        <v>1956</v>
      </c>
      <c r="F536" s="286" t="s">
        <v>1303</v>
      </c>
      <c r="G536" s="284">
        <v>150</v>
      </c>
      <c r="H536" s="284">
        <v>13</v>
      </c>
      <c r="I536" s="284">
        <v>0.95</v>
      </c>
      <c r="J536" s="287">
        <f t="shared" si="137"/>
        <v>16302</v>
      </c>
      <c r="K536" s="288">
        <v>5.46</v>
      </c>
      <c r="L536" s="289">
        <f t="shared" si="138"/>
        <v>7207.200000000001</v>
      </c>
      <c r="M536" s="288">
        <v>5</v>
      </c>
      <c r="N536" s="289">
        <f t="shared" si="139"/>
        <v>6600</v>
      </c>
      <c r="O536" s="290">
        <v>7.8</v>
      </c>
      <c r="P536" s="291" t="s">
        <v>294</v>
      </c>
      <c r="Q536" s="288">
        <v>1.03</v>
      </c>
      <c r="R536" s="289">
        <f t="shared" si="140"/>
        <v>155567.48376</v>
      </c>
      <c r="S536" s="292" t="s">
        <v>1591</v>
      </c>
      <c r="T536" s="289">
        <f>'Nhan cong'!$M$42</f>
        <v>145974.23076923078</v>
      </c>
      <c r="U536" s="250">
        <f t="shared" si="141"/>
        <v>331651</v>
      </c>
      <c r="V536" s="250">
        <v>352505</v>
      </c>
      <c r="W536" s="250">
        <v>331651</v>
      </c>
      <c r="X536" s="250">
        <v>301066</v>
      </c>
      <c r="Y536" s="293">
        <v>19800</v>
      </c>
      <c r="Z536" s="294"/>
      <c r="AA536" s="251"/>
      <c r="AB536" s="251"/>
    </row>
    <row r="537" spans="1:28" s="295" customFormat="1" ht="15.75">
      <c r="A537" s="284">
        <v>451</v>
      </c>
      <c r="B537" s="284">
        <v>0</v>
      </c>
      <c r="C537" s="284" t="s">
        <v>1304</v>
      </c>
      <c r="D537" s="284" t="s">
        <v>3482</v>
      </c>
      <c r="E537" s="285" t="s">
        <v>1957</v>
      </c>
      <c r="F537" s="286" t="s">
        <v>1305</v>
      </c>
      <c r="G537" s="284">
        <v>150</v>
      </c>
      <c r="H537" s="284">
        <v>12</v>
      </c>
      <c r="I537" s="284">
        <v>0.95</v>
      </c>
      <c r="J537" s="287">
        <f t="shared" si="137"/>
        <v>47196</v>
      </c>
      <c r="K537" s="288">
        <v>5.04</v>
      </c>
      <c r="L537" s="289">
        <f t="shared" si="138"/>
        <v>20865.600000000002</v>
      </c>
      <c r="M537" s="288">
        <v>5</v>
      </c>
      <c r="N537" s="289">
        <f t="shared" si="139"/>
        <v>20700</v>
      </c>
      <c r="O537" s="290">
        <v>14.4</v>
      </c>
      <c r="P537" s="291" t="s">
        <v>294</v>
      </c>
      <c r="Q537" s="288">
        <v>1.03</v>
      </c>
      <c r="R537" s="289">
        <f t="shared" si="140"/>
        <v>287201.50848</v>
      </c>
      <c r="S537" s="292" t="s">
        <v>1591</v>
      </c>
      <c r="T537" s="289">
        <f>'Nhan cong'!$M$42</f>
        <v>145974.23076923078</v>
      </c>
      <c r="U537" s="250">
        <f t="shared" si="141"/>
        <v>521937</v>
      </c>
      <c r="V537" s="250">
        <v>542791</v>
      </c>
      <c r="W537" s="250">
        <v>521937</v>
      </c>
      <c r="X537" s="250">
        <v>491352</v>
      </c>
      <c r="Y537" s="293">
        <v>62100</v>
      </c>
      <c r="Z537" s="294"/>
      <c r="AA537" s="251"/>
      <c r="AB537" s="251"/>
    </row>
    <row r="538" spans="1:28" s="295" customFormat="1" ht="15.75">
      <c r="A538" s="284">
        <v>452</v>
      </c>
      <c r="B538" s="284">
        <v>0</v>
      </c>
      <c r="C538" s="284" t="s">
        <v>1306</v>
      </c>
      <c r="D538" s="284" t="s">
        <v>3483</v>
      </c>
      <c r="E538" s="285" t="s">
        <v>1958</v>
      </c>
      <c r="F538" s="286" t="s">
        <v>1245</v>
      </c>
      <c r="G538" s="284">
        <v>150</v>
      </c>
      <c r="H538" s="284">
        <v>12</v>
      </c>
      <c r="I538" s="284">
        <v>0.95</v>
      </c>
      <c r="J538" s="287">
        <f t="shared" si="137"/>
        <v>75544</v>
      </c>
      <c r="K538" s="288">
        <v>5.04</v>
      </c>
      <c r="L538" s="289">
        <f t="shared" si="138"/>
        <v>33398.4</v>
      </c>
      <c r="M538" s="288">
        <v>5</v>
      </c>
      <c r="N538" s="289">
        <f t="shared" si="139"/>
        <v>33133.333333333336</v>
      </c>
      <c r="O538" s="290">
        <v>24</v>
      </c>
      <c r="P538" s="291" t="s">
        <v>294</v>
      </c>
      <c r="Q538" s="288">
        <v>1.03</v>
      </c>
      <c r="R538" s="289">
        <f t="shared" si="140"/>
        <v>478669.1808</v>
      </c>
      <c r="S538" s="292" t="s">
        <v>1591</v>
      </c>
      <c r="T538" s="289">
        <f>'Nhan cong'!$M$42</f>
        <v>145974.23076923078</v>
      </c>
      <c r="U538" s="250">
        <f t="shared" si="141"/>
        <v>766719</v>
      </c>
      <c r="V538" s="250">
        <v>787573</v>
      </c>
      <c r="W538" s="250">
        <v>766719</v>
      </c>
      <c r="X538" s="250">
        <v>736134</v>
      </c>
      <c r="Y538" s="293">
        <v>99400</v>
      </c>
      <c r="Z538" s="294"/>
      <c r="AA538" s="251"/>
      <c r="AB538" s="251"/>
    </row>
    <row r="539" spans="1:28" s="295" customFormat="1" ht="15.75">
      <c r="A539" s="284">
        <v>453</v>
      </c>
      <c r="B539" s="284">
        <v>0</v>
      </c>
      <c r="C539" s="284" t="s">
        <v>1307</v>
      </c>
      <c r="D539" s="284" t="s">
        <v>3484</v>
      </c>
      <c r="E539" s="285" t="s">
        <v>1959</v>
      </c>
      <c r="F539" s="286" t="s">
        <v>1308</v>
      </c>
      <c r="G539" s="284">
        <v>150</v>
      </c>
      <c r="H539" s="284">
        <v>12</v>
      </c>
      <c r="I539" s="284">
        <v>0.95</v>
      </c>
      <c r="J539" s="287">
        <f t="shared" si="137"/>
        <v>108832</v>
      </c>
      <c r="K539" s="288">
        <v>5.04</v>
      </c>
      <c r="L539" s="289">
        <f t="shared" si="138"/>
        <v>48115.200000000004</v>
      </c>
      <c r="M539" s="288">
        <v>5</v>
      </c>
      <c r="N539" s="289">
        <f t="shared" si="139"/>
        <v>47733.333333333336</v>
      </c>
      <c r="O539" s="290">
        <v>33</v>
      </c>
      <c r="P539" s="291" t="s">
        <v>294</v>
      </c>
      <c r="Q539" s="288">
        <v>1.03</v>
      </c>
      <c r="R539" s="289">
        <f t="shared" si="140"/>
        <v>658170.1236</v>
      </c>
      <c r="S539" s="292" t="s">
        <v>1591</v>
      </c>
      <c r="T539" s="289">
        <f>'Nhan cong'!$M$42</f>
        <v>145974.23076923078</v>
      </c>
      <c r="U539" s="250">
        <f>ROUND((J539+L539+N539+R539+T539),0)-1</f>
        <v>1008824</v>
      </c>
      <c r="V539" s="250">
        <v>1029679</v>
      </c>
      <c r="W539" s="250">
        <v>1008824</v>
      </c>
      <c r="X539" s="250">
        <v>978240</v>
      </c>
      <c r="Y539" s="293">
        <v>143200</v>
      </c>
      <c r="Z539" s="294"/>
      <c r="AA539" s="251"/>
      <c r="AB539" s="251"/>
    </row>
    <row r="540" spans="1:28" s="295" customFormat="1" ht="15.75">
      <c r="A540" s="284">
        <v>454</v>
      </c>
      <c r="B540" s="284">
        <v>0</v>
      </c>
      <c r="C540" s="284" t="s">
        <v>1309</v>
      </c>
      <c r="D540" s="284" t="s">
        <v>3485</v>
      </c>
      <c r="E540" s="285" t="s">
        <v>1960</v>
      </c>
      <c r="F540" s="286" t="s">
        <v>1310</v>
      </c>
      <c r="G540" s="284">
        <v>150</v>
      </c>
      <c r="H540" s="284">
        <v>11</v>
      </c>
      <c r="I540" s="284">
        <v>0.95</v>
      </c>
      <c r="J540" s="287">
        <f t="shared" si="137"/>
        <v>227322.3333333333</v>
      </c>
      <c r="K540" s="288">
        <v>4.62</v>
      </c>
      <c r="L540" s="289">
        <f t="shared" si="138"/>
        <v>100500.4</v>
      </c>
      <c r="M540" s="288">
        <v>5</v>
      </c>
      <c r="N540" s="289">
        <f t="shared" si="139"/>
        <v>108766.66666666667</v>
      </c>
      <c r="O540" s="290">
        <v>46.2</v>
      </c>
      <c r="P540" s="291" t="s">
        <v>294</v>
      </c>
      <c r="Q540" s="288">
        <v>1.03</v>
      </c>
      <c r="R540" s="289">
        <f t="shared" si="140"/>
        <v>921438.1730400001</v>
      </c>
      <c r="S540" s="292" t="s">
        <v>1591</v>
      </c>
      <c r="T540" s="289">
        <f>'Nhan cong'!$M$42</f>
        <v>145974.23076923078</v>
      </c>
      <c r="U540" s="250">
        <f>ROUND((J540+L540+N540+R540+T540),0)-1</f>
        <v>1504001</v>
      </c>
      <c r="V540" s="250">
        <v>1524856</v>
      </c>
      <c r="W540" s="250">
        <v>1504001</v>
      </c>
      <c r="X540" s="250">
        <v>1473417</v>
      </c>
      <c r="Y540" s="293">
        <v>326300</v>
      </c>
      <c r="Z540" s="294"/>
      <c r="AA540" s="251"/>
      <c r="AB540" s="251"/>
    </row>
    <row r="541" spans="1:28" s="295" customFormat="1" ht="15.75">
      <c r="A541" s="297"/>
      <c r="B541" s="284"/>
      <c r="C541" s="298"/>
      <c r="D541" s="284"/>
      <c r="E541" s="272"/>
      <c r="F541" s="151" t="s">
        <v>2134</v>
      </c>
      <c r="G541" s="284"/>
      <c r="H541" s="284"/>
      <c r="I541" s="284"/>
      <c r="J541" s="299"/>
      <c r="K541" s="288"/>
      <c r="L541" s="289"/>
      <c r="M541" s="288"/>
      <c r="N541" s="300"/>
      <c r="O541" s="290"/>
      <c r="P541" s="291"/>
      <c r="Q541" s="288"/>
      <c r="R541" s="300"/>
      <c r="S541" s="292"/>
      <c r="T541" s="289"/>
      <c r="U541" s="250"/>
      <c r="V541" s="250"/>
      <c r="W541" s="250"/>
      <c r="X541" s="250"/>
      <c r="Y541" s="293"/>
      <c r="Z541" s="385"/>
      <c r="AA541" s="251"/>
      <c r="AB541" s="251"/>
    </row>
    <row r="542" spans="1:28" s="295" customFormat="1" ht="15.75">
      <c r="A542" s="284">
        <v>455</v>
      </c>
      <c r="B542" s="284">
        <v>0</v>
      </c>
      <c r="C542" s="284" t="s">
        <v>2135</v>
      </c>
      <c r="D542" s="284" t="s">
        <v>3486</v>
      </c>
      <c r="E542" s="285" t="s">
        <v>107</v>
      </c>
      <c r="F542" s="286" t="s">
        <v>2136</v>
      </c>
      <c r="G542" s="284">
        <v>150</v>
      </c>
      <c r="H542" s="284">
        <v>13</v>
      </c>
      <c r="I542" s="284">
        <v>1</v>
      </c>
      <c r="J542" s="287">
        <f aca="true" t="shared" si="142" ref="J542:J554">Y542*H542%*I542/G542*1000</f>
        <v>3553.333333333333</v>
      </c>
      <c r="K542" s="288">
        <v>7.15</v>
      </c>
      <c r="L542" s="289">
        <f aca="true" t="shared" si="143" ref="L542:L554">(Y542*K542%)/G542*1000</f>
        <v>1954.3333333333335</v>
      </c>
      <c r="M542" s="288">
        <v>5</v>
      </c>
      <c r="N542" s="289">
        <f aca="true" t="shared" si="144" ref="N542:N554">(Y542*M542%)/G542*1000</f>
        <v>1366.6666666666667</v>
      </c>
      <c r="O542" s="290">
        <v>0.627</v>
      </c>
      <c r="P542" s="291" t="s">
        <v>1590</v>
      </c>
      <c r="Q542" s="288">
        <v>1.05</v>
      </c>
      <c r="R542" s="289">
        <f aca="true" t="shared" si="145" ref="R542:R554">O542*diezel*Q542</f>
        <v>12628.351197</v>
      </c>
      <c r="S542" s="292" t="s">
        <v>1591</v>
      </c>
      <c r="T542" s="289">
        <f>'Nhan cong'!$M$42</f>
        <v>145974.23076923078</v>
      </c>
      <c r="U542" s="250">
        <f>ROUND((J542+L542+N542+R542+T542),0)+1</f>
        <v>165478</v>
      </c>
      <c r="V542" s="250">
        <v>186331</v>
      </c>
      <c r="W542" s="250">
        <v>165537</v>
      </c>
      <c r="X542" s="250">
        <v>134952</v>
      </c>
      <c r="Y542" s="293">
        <v>4100</v>
      </c>
      <c r="Z542" s="294"/>
      <c r="AA542" s="251"/>
      <c r="AB542" s="251"/>
    </row>
    <row r="543" spans="1:28" s="295" customFormat="1" ht="15.75">
      <c r="A543" s="284">
        <v>456</v>
      </c>
      <c r="B543" s="284">
        <v>0</v>
      </c>
      <c r="C543" s="284" t="s">
        <v>2137</v>
      </c>
      <c r="D543" s="284" t="s">
        <v>3487</v>
      </c>
      <c r="E543" s="285" t="s">
        <v>1961</v>
      </c>
      <c r="F543" s="286" t="s">
        <v>2138</v>
      </c>
      <c r="G543" s="284">
        <v>150</v>
      </c>
      <c r="H543" s="284">
        <v>13</v>
      </c>
      <c r="I543" s="284">
        <v>0.95</v>
      </c>
      <c r="J543" s="287">
        <f t="shared" si="142"/>
        <v>30710.333333333336</v>
      </c>
      <c r="K543" s="288">
        <v>5.85</v>
      </c>
      <c r="L543" s="289">
        <f t="shared" si="143"/>
        <v>14546.999999999998</v>
      </c>
      <c r="M543" s="288">
        <v>5</v>
      </c>
      <c r="N543" s="289">
        <f t="shared" si="144"/>
        <v>12433.333333333334</v>
      </c>
      <c r="O543" s="290">
        <v>5.76</v>
      </c>
      <c r="P543" s="291" t="s">
        <v>1590</v>
      </c>
      <c r="Q543" s="288">
        <v>1.05</v>
      </c>
      <c r="R543" s="289">
        <f t="shared" si="145"/>
        <v>116011.64735999999</v>
      </c>
      <c r="S543" s="292" t="s">
        <v>1591</v>
      </c>
      <c r="T543" s="289">
        <f>'Nhan cong'!$M$42</f>
        <v>145974.23076923078</v>
      </c>
      <c r="U543" s="250">
        <f>ROUND((J543+L543+N543+R543+T543),0)-1</f>
        <v>319676</v>
      </c>
      <c r="V543" s="250">
        <v>340530</v>
      </c>
      <c r="W543" s="250">
        <v>319676</v>
      </c>
      <c r="X543" s="250">
        <v>289091</v>
      </c>
      <c r="Y543" s="293">
        <v>37300</v>
      </c>
      <c r="Z543" s="294"/>
      <c r="AA543" s="251"/>
      <c r="AB543" s="251"/>
    </row>
    <row r="544" spans="1:28" s="295" customFormat="1" ht="15.75">
      <c r="A544" s="284">
        <v>457</v>
      </c>
      <c r="B544" s="284">
        <v>0</v>
      </c>
      <c r="C544" s="284" t="s">
        <v>2139</v>
      </c>
      <c r="D544" s="284" t="s">
        <v>3488</v>
      </c>
      <c r="E544" s="285" t="s">
        <v>1962</v>
      </c>
      <c r="F544" s="286" t="s">
        <v>2140</v>
      </c>
      <c r="G544" s="284">
        <v>150</v>
      </c>
      <c r="H544" s="284">
        <v>13</v>
      </c>
      <c r="I544" s="284">
        <v>0.95</v>
      </c>
      <c r="J544" s="287">
        <f t="shared" si="142"/>
        <v>44789.33333333333</v>
      </c>
      <c r="K544" s="288">
        <v>5.85</v>
      </c>
      <c r="L544" s="289">
        <f t="shared" si="143"/>
        <v>21215.999999999996</v>
      </c>
      <c r="M544" s="288">
        <v>5</v>
      </c>
      <c r="N544" s="289">
        <f t="shared" si="144"/>
        <v>18133.333333333332</v>
      </c>
      <c r="O544" s="290">
        <v>13.2</v>
      </c>
      <c r="P544" s="291" t="s">
        <v>1590</v>
      </c>
      <c r="Q544" s="288">
        <v>1.05</v>
      </c>
      <c r="R544" s="289">
        <f t="shared" si="145"/>
        <v>265860.0252</v>
      </c>
      <c r="S544" s="292" t="s">
        <v>1591</v>
      </c>
      <c r="T544" s="289">
        <f>'Nhan cong'!$M$42</f>
        <v>145974.23076923078</v>
      </c>
      <c r="U544" s="250">
        <f>ROUND((J544+L544+N544+R544+T544),0)</f>
        <v>495973</v>
      </c>
      <c r="V544" s="250">
        <v>516827</v>
      </c>
      <c r="W544" s="250">
        <v>495973</v>
      </c>
      <c r="X544" s="250">
        <v>465388</v>
      </c>
      <c r="Y544" s="293">
        <v>54400</v>
      </c>
      <c r="Z544" s="294"/>
      <c r="AA544" s="251"/>
      <c r="AB544" s="251"/>
    </row>
    <row r="545" spans="1:28" s="295" customFormat="1" ht="15.75">
      <c r="A545" s="284">
        <v>458</v>
      </c>
      <c r="B545" s="284">
        <v>0</v>
      </c>
      <c r="C545" s="284" t="s">
        <v>2141</v>
      </c>
      <c r="D545" s="284" t="s">
        <v>3488</v>
      </c>
      <c r="E545" s="285" t="s">
        <v>1962</v>
      </c>
      <c r="F545" s="286" t="s">
        <v>2142</v>
      </c>
      <c r="G545" s="284">
        <v>150</v>
      </c>
      <c r="H545" s="284">
        <v>12</v>
      </c>
      <c r="I545" s="284">
        <v>0.95</v>
      </c>
      <c r="J545" s="287">
        <f t="shared" si="142"/>
        <v>51071.99999999999</v>
      </c>
      <c r="K545" s="288">
        <v>5.4</v>
      </c>
      <c r="L545" s="289">
        <f t="shared" si="143"/>
        <v>24192.000000000004</v>
      </c>
      <c r="M545" s="288">
        <v>5</v>
      </c>
      <c r="N545" s="289">
        <f t="shared" si="144"/>
        <v>22400</v>
      </c>
      <c r="O545" s="290">
        <v>13.86</v>
      </c>
      <c r="P545" s="291" t="s">
        <v>1590</v>
      </c>
      <c r="Q545" s="288">
        <v>1.05</v>
      </c>
      <c r="R545" s="289">
        <f t="shared" si="145"/>
        <v>279153.02645999996</v>
      </c>
      <c r="S545" s="292" t="s">
        <v>1591</v>
      </c>
      <c r="T545" s="289">
        <f>'Nhan cong'!$M$42</f>
        <v>145974.23076923078</v>
      </c>
      <c r="U545" s="250">
        <f>ROUND((J545+L545+N545+R545+T545),0)</f>
        <v>522791</v>
      </c>
      <c r="V545" s="250">
        <v>543645</v>
      </c>
      <c r="W545" s="250">
        <v>522791</v>
      </c>
      <c r="X545" s="250">
        <v>492206</v>
      </c>
      <c r="Y545" s="293">
        <v>67200</v>
      </c>
      <c r="Z545" s="294"/>
      <c r="AA545" s="251"/>
      <c r="AB545" s="251"/>
    </row>
    <row r="546" spans="1:28" s="295" customFormat="1" ht="15.75">
      <c r="A546" s="284">
        <v>459</v>
      </c>
      <c r="B546" s="284">
        <v>0</v>
      </c>
      <c r="C546" s="284" t="s">
        <v>2143</v>
      </c>
      <c r="D546" s="284" t="s">
        <v>3489</v>
      </c>
      <c r="E546" s="285" t="s">
        <v>1963</v>
      </c>
      <c r="F546" s="286" t="s">
        <v>2144</v>
      </c>
      <c r="G546" s="284">
        <v>150</v>
      </c>
      <c r="H546" s="284">
        <v>12</v>
      </c>
      <c r="I546" s="284">
        <v>0.95</v>
      </c>
      <c r="J546" s="287">
        <f t="shared" si="142"/>
        <v>81776</v>
      </c>
      <c r="K546" s="288">
        <v>5.4</v>
      </c>
      <c r="L546" s="289">
        <f t="shared" si="143"/>
        <v>38736.00000000001</v>
      </c>
      <c r="M546" s="288">
        <v>5</v>
      </c>
      <c r="N546" s="289">
        <f t="shared" si="144"/>
        <v>35866.666666666664</v>
      </c>
      <c r="O546" s="290">
        <v>18</v>
      </c>
      <c r="P546" s="291" t="s">
        <v>1590</v>
      </c>
      <c r="Q546" s="288">
        <v>1.05</v>
      </c>
      <c r="R546" s="289">
        <f t="shared" si="145"/>
        <v>362536.39800000004</v>
      </c>
      <c r="S546" s="292" t="s">
        <v>1591</v>
      </c>
      <c r="T546" s="289">
        <f>'Nhan cong'!$M$42</f>
        <v>145974.23076923078</v>
      </c>
      <c r="U546" s="250">
        <f>ROUND((J546+L546+N546+R546+T546),0)</f>
        <v>664889</v>
      </c>
      <c r="V546" s="250">
        <v>685743</v>
      </c>
      <c r="W546" s="250">
        <v>664889</v>
      </c>
      <c r="X546" s="250">
        <v>634304</v>
      </c>
      <c r="Y546" s="293">
        <v>107600</v>
      </c>
      <c r="Z546" s="294"/>
      <c r="AA546" s="251"/>
      <c r="AB546" s="251"/>
    </row>
    <row r="547" spans="1:28" s="295" customFormat="1" ht="15.75">
      <c r="A547" s="284">
        <v>460</v>
      </c>
      <c r="B547" s="284" t="s">
        <v>626</v>
      </c>
      <c r="C547" s="284" t="s">
        <v>2145</v>
      </c>
      <c r="D547" s="284" t="s">
        <v>3490</v>
      </c>
      <c r="E547" s="285" t="s">
        <v>1964</v>
      </c>
      <c r="F547" s="286" t="s">
        <v>2146</v>
      </c>
      <c r="G547" s="284">
        <v>150</v>
      </c>
      <c r="H547" s="284">
        <v>12</v>
      </c>
      <c r="I547" s="284">
        <v>0.95</v>
      </c>
      <c r="J547" s="287">
        <f t="shared" si="142"/>
        <v>103967.99999999999</v>
      </c>
      <c r="K547" s="288">
        <v>5.4</v>
      </c>
      <c r="L547" s="289">
        <f t="shared" si="143"/>
        <v>49248.00000000001</v>
      </c>
      <c r="M547" s="288">
        <v>5</v>
      </c>
      <c r="N547" s="289">
        <f t="shared" si="144"/>
        <v>45600</v>
      </c>
      <c r="O547" s="290">
        <v>27.54</v>
      </c>
      <c r="P547" s="291" t="s">
        <v>1590</v>
      </c>
      <c r="Q547" s="288">
        <v>1.05</v>
      </c>
      <c r="R547" s="289">
        <f t="shared" si="145"/>
        <v>554680.68894</v>
      </c>
      <c r="S547" s="292" t="s">
        <v>1591</v>
      </c>
      <c r="T547" s="289">
        <f>'Nhan cong'!$M$42</f>
        <v>145974.23076923078</v>
      </c>
      <c r="U547" s="250">
        <f>ROUND((J547+L547+N547+R547+T547),0)-1</f>
        <v>899470</v>
      </c>
      <c r="V547" s="250">
        <v>920325</v>
      </c>
      <c r="W547" s="250">
        <v>899470</v>
      </c>
      <c r="X547" s="250">
        <v>868886</v>
      </c>
      <c r="Y547" s="293">
        <v>136800</v>
      </c>
      <c r="Z547" s="294"/>
      <c r="AA547" s="251"/>
      <c r="AB547" s="251"/>
    </row>
    <row r="548" spans="1:28" s="295" customFormat="1" ht="15.75">
      <c r="A548" s="284">
        <v>461</v>
      </c>
      <c r="B548" s="284">
        <v>0</v>
      </c>
      <c r="C548" s="284" t="s">
        <v>2147</v>
      </c>
      <c r="D548" s="284" t="s">
        <v>3491</v>
      </c>
      <c r="E548" s="285" t="s">
        <v>1965</v>
      </c>
      <c r="F548" s="286" t="s">
        <v>2148</v>
      </c>
      <c r="G548" s="284">
        <v>150</v>
      </c>
      <c r="H548" s="284">
        <v>12</v>
      </c>
      <c r="I548" s="284">
        <v>0.95</v>
      </c>
      <c r="J548" s="287">
        <f t="shared" si="142"/>
        <v>133152</v>
      </c>
      <c r="K548" s="288">
        <v>5.4</v>
      </c>
      <c r="L548" s="289">
        <f t="shared" si="143"/>
        <v>63072.00000000001</v>
      </c>
      <c r="M548" s="288">
        <v>5</v>
      </c>
      <c r="N548" s="289">
        <f t="shared" si="144"/>
        <v>58400</v>
      </c>
      <c r="O548" s="290">
        <v>32.4</v>
      </c>
      <c r="P548" s="291" t="s">
        <v>1590</v>
      </c>
      <c r="Q548" s="288">
        <v>1.05</v>
      </c>
      <c r="R548" s="289">
        <f t="shared" si="145"/>
        <v>652565.5164</v>
      </c>
      <c r="S548" s="292" t="s">
        <v>1591</v>
      </c>
      <c r="T548" s="289">
        <f>'Nhan cong'!$M$42</f>
        <v>145974.23076923078</v>
      </c>
      <c r="U548" s="250">
        <f>ROUND((J548+L548+N548+R548+T548),0)-1</f>
        <v>1053163</v>
      </c>
      <c r="V548" s="250">
        <v>1074018</v>
      </c>
      <c r="W548" s="250">
        <v>1053163</v>
      </c>
      <c r="X548" s="250">
        <v>1022579</v>
      </c>
      <c r="Y548" s="293">
        <v>175200</v>
      </c>
      <c r="Z548" s="294"/>
      <c r="AA548" s="251"/>
      <c r="AB548" s="251"/>
    </row>
    <row r="549" spans="1:28" s="295" customFormat="1" ht="15.75">
      <c r="A549" s="284">
        <v>462</v>
      </c>
      <c r="B549" s="284" t="s">
        <v>627</v>
      </c>
      <c r="C549" s="284" t="s">
        <v>2149</v>
      </c>
      <c r="D549" s="284" t="s">
        <v>3492</v>
      </c>
      <c r="E549" s="285" t="s">
        <v>1966</v>
      </c>
      <c r="F549" s="286" t="s">
        <v>2150</v>
      </c>
      <c r="G549" s="284">
        <v>150</v>
      </c>
      <c r="H549" s="284">
        <v>12</v>
      </c>
      <c r="I549" s="284">
        <v>0.95</v>
      </c>
      <c r="J549" s="287">
        <f t="shared" si="142"/>
        <v>143868</v>
      </c>
      <c r="K549" s="288">
        <v>5.4</v>
      </c>
      <c r="L549" s="289">
        <f t="shared" si="143"/>
        <v>68148.00000000001</v>
      </c>
      <c r="M549" s="288">
        <v>5</v>
      </c>
      <c r="N549" s="289">
        <f t="shared" si="144"/>
        <v>63100</v>
      </c>
      <c r="O549" s="290">
        <v>34.56</v>
      </c>
      <c r="P549" s="291" t="s">
        <v>1590</v>
      </c>
      <c r="Q549" s="288">
        <v>1.05</v>
      </c>
      <c r="R549" s="289">
        <f t="shared" si="145"/>
        <v>696069.88416</v>
      </c>
      <c r="S549" s="292" t="s">
        <v>1591</v>
      </c>
      <c r="T549" s="289">
        <f>'Nhan cong'!$M$42</f>
        <v>145974.23076923078</v>
      </c>
      <c r="U549" s="250">
        <f>ROUND((J549+L549+N549+R549+T549),0)</f>
        <v>1117160</v>
      </c>
      <c r="V549" s="250">
        <v>1138014</v>
      </c>
      <c r="W549" s="250">
        <v>1117160</v>
      </c>
      <c r="X549" s="250">
        <v>1086575</v>
      </c>
      <c r="Y549" s="293">
        <v>189300</v>
      </c>
      <c r="Z549" s="294"/>
      <c r="AA549" s="251"/>
      <c r="AB549" s="251"/>
    </row>
    <row r="550" spans="1:28" s="295" customFormat="1" ht="15.75">
      <c r="A550" s="284">
        <v>463</v>
      </c>
      <c r="B550" s="284" t="s">
        <v>628</v>
      </c>
      <c r="C550" s="284" t="s">
        <v>2151</v>
      </c>
      <c r="D550" s="284" t="s">
        <v>3493</v>
      </c>
      <c r="E550" s="285" t="s">
        <v>1967</v>
      </c>
      <c r="F550" s="286" t="s">
        <v>2152</v>
      </c>
      <c r="G550" s="284">
        <v>150</v>
      </c>
      <c r="H550" s="284">
        <v>12</v>
      </c>
      <c r="I550" s="284">
        <v>0.95</v>
      </c>
      <c r="J550" s="287">
        <f t="shared" si="142"/>
        <v>186808</v>
      </c>
      <c r="K550" s="288">
        <v>5.4</v>
      </c>
      <c r="L550" s="289">
        <f t="shared" si="143"/>
        <v>88488</v>
      </c>
      <c r="M550" s="288">
        <v>5</v>
      </c>
      <c r="N550" s="289">
        <f t="shared" si="144"/>
        <v>81933.33333333334</v>
      </c>
      <c r="O550" s="290">
        <v>37.8</v>
      </c>
      <c r="P550" s="291" t="s">
        <v>1590</v>
      </c>
      <c r="Q550" s="288">
        <v>1.05</v>
      </c>
      <c r="R550" s="289">
        <f t="shared" si="145"/>
        <v>761326.4358</v>
      </c>
      <c r="S550" s="292" t="s">
        <v>1591</v>
      </c>
      <c r="T550" s="289">
        <f>'Nhan cong'!$M$42</f>
        <v>145974.23076923078</v>
      </c>
      <c r="U550" s="250">
        <f>ROUND((J550+L550+N550+R550+T550),0)-1</f>
        <v>1264529</v>
      </c>
      <c r="V550" s="250">
        <v>1285384</v>
      </c>
      <c r="W550" s="250">
        <v>1264529</v>
      </c>
      <c r="X550" s="250">
        <v>1233945</v>
      </c>
      <c r="Y550" s="293">
        <v>245800</v>
      </c>
      <c r="Z550" s="294"/>
      <c r="AA550" s="251"/>
      <c r="AB550" s="251"/>
    </row>
    <row r="551" spans="1:28" s="295" customFormat="1" ht="15.75">
      <c r="A551" s="284">
        <v>464</v>
      </c>
      <c r="B551" s="284" t="s">
        <v>629</v>
      </c>
      <c r="C551" s="284" t="s">
        <v>2153</v>
      </c>
      <c r="D551" s="284" t="s">
        <v>3494</v>
      </c>
      <c r="E551" s="285" t="s">
        <v>1968</v>
      </c>
      <c r="F551" s="286" t="s">
        <v>2154</v>
      </c>
      <c r="G551" s="284">
        <v>150</v>
      </c>
      <c r="H551" s="284">
        <v>12</v>
      </c>
      <c r="I551" s="284">
        <v>0.95</v>
      </c>
      <c r="J551" s="287">
        <f t="shared" si="142"/>
        <v>213028</v>
      </c>
      <c r="K551" s="288">
        <v>5.4</v>
      </c>
      <c r="L551" s="289">
        <f t="shared" si="143"/>
        <v>100908.00000000001</v>
      </c>
      <c r="M551" s="288">
        <v>5</v>
      </c>
      <c r="N551" s="289">
        <f t="shared" si="144"/>
        <v>93433.33333333334</v>
      </c>
      <c r="O551" s="290">
        <v>36.48</v>
      </c>
      <c r="P551" s="291" t="s">
        <v>1590</v>
      </c>
      <c r="Q551" s="288">
        <v>1.05</v>
      </c>
      <c r="R551" s="289">
        <f t="shared" si="145"/>
        <v>734740.43328</v>
      </c>
      <c r="S551" s="292" t="s">
        <v>1591</v>
      </c>
      <c r="T551" s="289">
        <f>'Nhan cong'!$M$42</f>
        <v>145974.23076923078</v>
      </c>
      <c r="U551" s="250">
        <f>ROUND((J551+L551+N551+R551+T551),0)-1</f>
        <v>1288083</v>
      </c>
      <c r="V551" s="250">
        <v>1308938</v>
      </c>
      <c r="W551" s="250">
        <v>1288083</v>
      </c>
      <c r="X551" s="250">
        <v>1257499</v>
      </c>
      <c r="Y551" s="293">
        <v>280300</v>
      </c>
      <c r="Z551" s="294"/>
      <c r="AA551" s="251"/>
      <c r="AB551" s="251"/>
    </row>
    <row r="552" spans="1:28" s="295" customFormat="1" ht="15.75">
      <c r="A552" s="284">
        <v>465</v>
      </c>
      <c r="B552" s="284" t="s">
        <v>630</v>
      </c>
      <c r="C552" s="284" t="s">
        <v>2155</v>
      </c>
      <c r="D552" s="284" t="s">
        <v>3495</v>
      </c>
      <c r="E552" s="285" t="s">
        <v>1969</v>
      </c>
      <c r="F552" s="286" t="s">
        <v>2156</v>
      </c>
      <c r="G552" s="284">
        <v>150</v>
      </c>
      <c r="H552" s="284">
        <v>11</v>
      </c>
      <c r="I552" s="284">
        <v>0.95</v>
      </c>
      <c r="J552" s="287">
        <f t="shared" si="142"/>
        <v>249615.66666666666</v>
      </c>
      <c r="K552" s="288">
        <v>4.95</v>
      </c>
      <c r="L552" s="289">
        <f t="shared" si="143"/>
        <v>118239.00000000001</v>
      </c>
      <c r="M552" s="288">
        <v>5</v>
      </c>
      <c r="N552" s="289">
        <f t="shared" si="144"/>
        <v>119433.33333333334</v>
      </c>
      <c r="O552" s="290">
        <v>38.4</v>
      </c>
      <c r="P552" s="291" t="s">
        <v>1590</v>
      </c>
      <c r="Q552" s="288">
        <v>1.05</v>
      </c>
      <c r="R552" s="289">
        <f t="shared" si="145"/>
        <v>773410.9824</v>
      </c>
      <c r="S552" s="292" t="s">
        <v>1591</v>
      </c>
      <c r="T552" s="289">
        <f>'Nhan cong'!$M$42</f>
        <v>145974.23076923078</v>
      </c>
      <c r="U552" s="250">
        <f>ROUND((J552+L552+N552+R552+T552),0)</f>
        <v>1406673</v>
      </c>
      <c r="V552" s="250">
        <v>1427527</v>
      </c>
      <c r="W552" s="250">
        <v>1406673</v>
      </c>
      <c r="X552" s="250">
        <v>1376088</v>
      </c>
      <c r="Y552" s="293">
        <v>358300</v>
      </c>
      <c r="Z552" s="294"/>
      <c r="AA552" s="251"/>
      <c r="AB552" s="251"/>
    </row>
    <row r="553" spans="1:28" s="295" customFormat="1" ht="15.75">
      <c r="A553" s="284">
        <v>466</v>
      </c>
      <c r="B553" s="284" t="s">
        <v>631</v>
      </c>
      <c r="C553" s="284" t="s">
        <v>2157</v>
      </c>
      <c r="D553" s="284" t="s">
        <v>3496</v>
      </c>
      <c r="E553" s="285" t="s">
        <v>1970</v>
      </c>
      <c r="F553" s="286" t="s">
        <v>2158</v>
      </c>
      <c r="G553" s="284">
        <v>150</v>
      </c>
      <c r="H553" s="284">
        <v>11</v>
      </c>
      <c r="I553" s="284">
        <v>0.95</v>
      </c>
      <c r="J553" s="287">
        <f t="shared" si="142"/>
        <v>290788.6666666666</v>
      </c>
      <c r="K553" s="288">
        <v>4.95</v>
      </c>
      <c r="L553" s="289">
        <f t="shared" si="143"/>
        <v>137742</v>
      </c>
      <c r="M553" s="288">
        <v>5</v>
      </c>
      <c r="N553" s="289">
        <f t="shared" si="144"/>
        <v>139133.3333333333</v>
      </c>
      <c r="O553" s="290">
        <v>38.88</v>
      </c>
      <c r="P553" s="291" t="s">
        <v>1590</v>
      </c>
      <c r="Q553" s="288">
        <v>1.05</v>
      </c>
      <c r="R553" s="289">
        <f t="shared" si="145"/>
        <v>783078.61968</v>
      </c>
      <c r="S553" s="292" t="s">
        <v>1591</v>
      </c>
      <c r="T553" s="289">
        <f>'Nhan cong'!$M$42</f>
        <v>145974.23076923078</v>
      </c>
      <c r="U553" s="250">
        <f>ROUND((J553+L553+N553+R553+T553),0)-1</f>
        <v>1496716</v>
      </c>
      <c r="V553" s="250">
        <v>1517571</v>
      </c>
      <c r="W553" s="250">
        <v>1496716</v>
      </c>
      <c r="X553" s="250">
        <v>1466132</v>
      </c>
      <c r="Y553" s="293">
        <v>417400</v>
      </c>
      <c r="Z553" s="294"/>
      <c r="AA553" s="251"/>
      <c r="AB553" s="251"/>
    </row>
    <row r="554" spans="1:28" s="295" customFormat="1" ht="15.75">
      <c r="A554" s="284">
        <v>467</v>
      </c>
      <c r="B554" s="284" t="s">
        <v>625</v>
      </c>
      <c r="C554" s="284" t="s">
        <v>2159</v>
      </c>
      <c r="D554" s="284" t="s">
        <v>3497</v>
      </c>
      <c r="E554" s="285" t="s">
        <v>1971</v>
      </c>
      <c r="F554" s="286" t="s">
        <v>2160</v>
      </c>
      <c r="G554" s="284">
        <v>150</v>
      </c>
      <c r="H554" s="284">
        <v>11</v>
      </c>
      <c r="I554" s="284">
        <v>0.95</v>
      </c>
      <c r="J554" s="287">
        <f t="shared" si="142"/>
        <v>583319</v>
      </c>
      <c r="K554" s="288">
        <v>3.85</v>
      </c>
      <c r="L554" s="289">
        <f t="shared" si="143"/>
        <v>214906.99999999997</v>
      </c>
      <c r="M554" s="288">
        <v>5</v>
      </c>
      <c r="N554" s="289">
        <f t="shared" si="144"/>
        <v>279100</v>
      </c>
      <c r="O554" s="290">
        <v>75</v>
      </c>
      <c r="P554" s="291" t="s">
        <v>1590</v>
      </c>
      <c r="Q554" s="288">
        <v>1.05</v>
      </c>
      <c r="R554" s="289">
        <f t="shared" si="145"/>
        <v>1510568.325</v>
      </c>
      <c r="S554" s="292" t="s">
        <v>1591</v>
      </c>
      <c r="T554" s="289">
        <f>'Nhan cong'!$M$42</f>
        <v>145974.23076923078</v>
      </c>
      <c r="U554" s="250">
        <f>ROUND((J554+L554+N554+R554+T554),0)-1</f>
        <v>2733868</v>
      </c>
      <c r="V554" s="250">
        <v>2754722</v>
      </c>
      <c r="W554" s="250">
        <v>2733868</v>
      </c>
      <c r="X554" s="250">
        <v>2703283</v>
      </c>
      <c r="Y554" s="293">
        <v>837300</v>
      </c>
      <c r="Z554" s="294"/>
      <c r="AA554" s="251"/>
      <c r="AB554" s="251"/>
    </row>
    <row r="555" spans="1:28" s="295" customFormat="1" ht="15.75">
      <c r="A555" s="297"/>
      <c r="B555" s="284"/>
      <c r="C555" s="298"/>
      <c r="D555" s="284"/>
      <c r="E555" s="272"/>
      <c r="F555" s="151" t="s">
        <v>2161</v>
      </c>
      <c r="G555" s="284"/>
      <c r="H555" s="284"/>
      <c r="I555" s="284"/>
      <c r="J555" s="299"/>
      <c r="K555" s="288"/>
      <c r="L555" s="289"/>
      <c r="M555" s="288"/>
      <c r="N555" s="300"/>
      <c r="O555" s="290"/>
      <c r="P555" s="291"/>
      <c r="Q555" s="288"/>
      <c r="R555" s="300"/>
      <c r="S555" s="292"/>
      <c r="T555" s="289"/>
      <c r="U555" s="250"/>
      <c r="V555" s="250"/>
      <c r="W555" s="250"/>
      <c r="X555" s="250"/>
      <c r="Y555" s="293"/>
      <c r="Z555" s="385"/>
      <c r="AA555" s="251"/>
      <c r="AB555" s="251"/>
    </row>
    <row r="556" spans="1:28" s="295" customFormat="1" ht="15.75">
      <c r="A556" s="284">
        <v>468</v>
      </c>
      <c r="B556" s="284">
        <v>0</v>
      </c>
      <c r="C556" s="284" t="s">
        <v>2162</v>
      </c>
      <c r="D556" s="284" t="s">
        <v>3498</v>
      </c>
      <c r="E556" s="285" t="s">
        <v>108</v>
      </c>
      <c r="F556" s="286" t="s">
        <v>2163</v>
      </c>
      <c r="G556" s="284">
        <v>150</v>
      </c>
      <c r="H556" s="284">
        <v>13</v>
      </c>
      <c r="I556" s="284">
        <v>1</v>
      </c>
      <c r="J556" s="287">
        <f aca="true" t="shared" si="146" ref="J556:J565">Y556*H556%*I556/G556*1000</f>
        <v>2166.6666666666665</v>
      </c>
      <c r="K556" s="288">
        <v>5.2</v>
      </c>
      <c r="L556" s="289">
        <f aca="true" t="shared" si="147" ref="L556:L565">(Y556*K556%)/G556*1000</f>
        <v>866.6666666666667</v>
      </c>
      <c r="M556" s="288">
        <v>5</v>
      </c>
      <c r="N556" s="289">
        <f aca="true" t="shared" si="148" ref="N556:N565">(Y556*M556%)/G556*1000</f>
        <v>833.3333333333334</v>
      </c>
      <c r="O556" s="290">
        <v>1.845</v>
      </c>
      <c r="P556" s="291" t="s">
        <v>433</v>
      </c>
      <c r="Q556" s="288">
        <v>1.07</v>
      </c>
      <c r="R556" s="289">
        <f aca="true" t="shared" si="149" ref="R556:R565">O556*dien*Q556</f>
        <v>2248.55685</v>
      </c>
      <c r="S556" s="292" t="s">
        <v>295</v>
      </c>
      <c r="T556" s="296">
        <f>'Nhan cong'!M$38</f>
        <v>125620.38461538461</v>
      </c>
      <c r="U556" s="250">
        <f>ROUND((J556+L556+N556+R556+T556),0)+6</f>
        <v>131742</v>
      </c>
      <c r="V556" s="250">
        <v>149688</v>
      </c>
      <c r="W556" s="250">
        <v>131742</v>
      </c>
      <c r="X556" s="250">
        <v>105421</v>
      </c>
      <c r="Y556" s="293">
        <v>2500</v>
      </c>
      <c r="Z556" s="294"/>
      <c r="AA556" s="251"/>
      <c r="AB556" s="251"/>
    </row>
    <row r="557" spans="1:28" s="295" customFormat="1" ht="15.75">
      <c r="A557" s="284">
        <v>469</v>
      </c>
      <c r="B557" s="284">
        <v>0</v>
      </c>
      <c r="C557" s="284" t="s">
        <v>2164</v>
      </c>
      <c r="D557" s="284" t="s">
        <v>3499</v>
      </c>
      <c r="E557" s="285" t="s">
        <v>109</v>
      </c>
      <c r="F557" s="286" t="s">
        <v>2165</v>
      </c>
      <c r="G557" s="284">
        <v>150</v>
      </c>
      <c r="H557" s="284">
        <v>13</v>
      </c>
      <c r="I557" s="284">
        <v>1</v>
      </c>
      <c r="J557" s="287">
        <f t="shared" si="146"/>
        <v>3640</v>
      </c>
      <c r="K557" s="288">
        <v>4.55</v>
      </c>
      <c r="L557" s="289">
        <f t="shared" si="147"/>
        <v>1274</v>
      </c>
      <c r="M557" s="288">
        <v>5</v>
      </c>
      <c r="N557" s="289">
        <f t="shared" si="148"/>
        <v>1400</v>
      </c>
      <c r="O557" s="290">
        <v>5.412</v>
      </c>
      <c r="P557" s="291" t="s">
        <v>433</v>
      </c>
      <c r="Q557" s="288">
        <v>1.07</v>
      </c>
      <c r="R557" s="289">
        <f t="shared" si="149"/>
        <v>6595.76676</v>
      </c>
      <c r="S557" s="292" t="s">
        <v>295</v>
      </c>
      <c r="T557" s="296">
        <f>'Nhan cong'!M$38</f>
        <v>125620.38461538461</v>
      </c>
      <c r="U557" s="250">
        <f>ROUND((J557+L557+N557+R557+T557),0)-3</f>
        <v>138527</v>
      </c>
      <c r="V557" s="250">
        <v>156473</v>
      </c>
      <c r="W557" s="250">
        <v>138527</v>
      </c>
      <c r="X557" s="250">
        <f>ROUND((M557+O557+Q557+U557+W557),0)-3</f>
        <v>277062</v>
      </c>
      <c r="Y557" s="293">
        <v>4200</v>
      </c>
      <c r="Z557" s="294"/>
      <c r="AA557" s="251"/>
      <c r="AB557" s="251"/>
    </row>
    <row r="558" spans="1:28" s="295" customFormat="1" ht="15.75">
      <c r="A558" s="284">
        <v>470</v>
      </c>
      <c r="B558" s="284">
        <v>0</v>
      </c>
      <c r="C558" s="284" t="s">
        <v>2166</v>
      </c>
      <c r="D558" s="284" t="s">
        <v>3500</v>
      </c>
      <c r="E558" s="285" t="s">
        <v>110</v>
      </c>
      <c r="F558" s="286" t="s">
        <v>1158</v>
      </c>
      <c r="G558" s="284">
        <v>150</v>
      </c>
      <c r="H558" s="284">
        <v>13</v>
      </c>
      <c r="I558" s="284">
        <v>1</v>
      </c>
      <c r="J558" s="287">
        <f t="shared" si="146"/>
        <v>7973.333333333334</v>
      </c>
      <c r="K558" s="288">
        <v>4.55</v>
      </c>
      <c r="L558" s="289">
        <f t="shared" si="147"/>
        <v>2790.6666666666665</v>
      </c>
      <c r="M558" s="288">
        <v>5</v>
      </c>
      <c r="N558" s="289">
        <f t="shared" si="148"/>
        <v>3066.666666666667</v>
      </c>
      <c r="O558" s="290">
        <v>6.897</v>
      </c>
      <c r="P558" s="291" t="s">
        <v>433</v>
      </c>
      <c r="Q558" s="288">
        <v>1.07</v>
      </c>
      <c r="R558" s="289">
        <f t="shared" si="149"/>
        <v>8405.580810000001</v>
      </c>
      <c r="S558" s="292" t="s">
        <v>295</v>
      </c>
      <c r="T558" s="296">
        <f>'Nhan cong'!M$38</f>
        <v>125620.38461538461</v>
      </c>
      <c r="U558" s="250">
        <f>ROUND((J558+L558+N558+R558+T558),0)+3</f>
        <v>147860</v>
      </c>
      <c r="V558" s="250">
        <v>165806</v>
      </c>
      <c r="W558" s="250">
        <v>147860</v>
      </c>
      <c r="X558" s="250">
        <v>121540</v>
      </c>
      <c r="Y558" s="293">
        <v>9200</v>
      </c>
      <c r="Z558" s="294"/>
      <c r="AA558" s="251"/>
      <c r="AB558" s="251"/>
    </row>
    <row r="559" spans="1:28" s="295" customFormat="1" ht="15.75">
      <c r="A559" s="284">
        <v>471</v>
      </c>
      <c r="B559" s="284">
        <v>0</v>
      </c>
      <c r="C559" s="284" t="s">
        <v>2167</v>
      </c>
      <c r="D559" s="284" t="s">
        <v>3501</v>
      </c>
      <c r="E559" s="285" t="s">
        <v>1972</v>
      </c>
      <c r="F559" s="286" t="s">
        <v>1162</v>
      </c>
      <c r="G559" s="284">
        <v>150</v>
      </c>
      <c r="H559" s="284">
        <v>13</v>
      </c>
      <c r="I559" s="284">
        <v>1</v>
      </c>
      <c r="J559" s="287">
        <f t="shared" si="146"/>
        <v>10226.666666666666</v>
      </c>
      <c r="K559" s="288">
        <v>4.55</v>
      </c>
      <c r="L559" s="289">
        <f t="shared" si="147"/>
        <v>3579.333333333333</v>
      </c>
      <c r="M559" s="288">
        <v>5</v>
      </c>
      <c r="N559" s="289">
        <f t="shared" si="148"/>
        <v>3933.333333333333</v>
      </c>
      <c r="O559" s="290">
        <v>10.05</v>
      </c>
      <c r="P559" s="291" t="s">
        <v>433</v>
      </c>
      <c r="Q559" s="288">
        <v>1.07</v>
      </c>
      <c r="R559" s="289">
        <f t="shared" si="149"/>
        <v>12248.2365</v>
      </c>
      <c r="S559" s="292" t="s">
        <v>295</v>
      </c>
      <c r="T559" s="296">
        <f>'Nhan cong'!M$38</f>
        <v>125620.38461538461</v>
      </c>
      <c r="U559" s="250">
        <f aca="true" t="shared" si="150" ref="U559:U565">ROUND((J559+L559+N559+R559+T559),0)</f>
        <v>155608</v>
      </c>
      <c r="V559" s="250">
        <v>173042</v>
      </c>
      <c r="W559" s="250">
        <v>155096</v>
      </c>
      <c r="X559" s="250">
        <v>128776</v>
      </c>
      <c r="Y559" s="293">
        <v>11800</v>
      </c>
      <c r="Z559" s="294"/>
      <c r="AA559" s="251"/>
      <c r="AB559" s="251"/>
    </row>
    <row r="560" spans="1:28" s="295" customFormat="1" ht="15.75">
      <c r="A560" s="284">
        <v>472</v>
      </c>
      <c r="B560" s="284">
        <v>0</v>
      </c>
      <c r="C560" s="284" t="s">
        <v>2168</v>
      </c>
      <c r="D560" s="284" t="s">
        <v>3502</v>
      </c>
      <c r="E560" s="285" t="s">
        <v>1973</v>
      </c>
      <c r="F560" s="286" t="s">
        <v>2169</v>
      </c>
      <c r="G560" s="284">
        <v>150</v>
      </c>
      <c r="H560" s="284">
        <v>13</v>
      </c>
      <c r="I560" s="284">
        <v>0.95</v>
      </c>
      <c r="J560" s="287">
        <f t="shared" si="146"/>
        <v>20995</v>
      </c>
      <c r="K560" s="288">
        <v>4.55</v>
      </c>
      <c r="L560" s="289">
        <f t="shared" si="147"/>
        <v>7735</v>
      </c>
      <c r="M560" s="288">
        <v>5</v>
      </c>
      <c r="N560" s="289">
        <f t="shared" si="148"/>
        <v>8500</v>
      </c>
      <c r="O560" s="290">
        <v>16.77</v>
      </c>
      <c r="P560" s="291" t="s">
        <v>433</v>
      </c>
      <c r="Q560" s="288">
        <v>1.07</v>
      </c>
      <c r="R560" s="289">
        <f t="shared" si="149"/>
        <v>20438.1021</v>
      </c>
      <c r="S560" s="292" t="s">
        <v>295</v>
      </c>
      <c r="T560" s="296">
        <f>'Nhan cong'!M$38</f>
        <v>125620.38461538461</v>
      </c>
      <c r="U560" s="250">
        <f t="shared" si="150"/>
        <v>183288</v>
      </c>
      <c r="V560" s="250">
        <v>201234</v>
      </c>
      <c r="W560" s="250">
        <v>183288</v>
      </c>
      <c r="X560" s="250">
        <v>156968</v>
      </c>
      <c r="Y560" s="293">
        <v>25500</v>
      </c>
      <c r="Z560" s="294"/>
      <c r="AA560" s="251"/>
      <c r="AB560" s="251"/>
    </row>
    <row r="561" spans="1:28" s="295" customFormat="1" ht="15.75">
      <c r="A561" s="284">
        <v>473</v>
      </c>
      <c r="B561" s="284">
        <v>0</v>
      </c>
      <c r="C561" s="284" t="s">
        <v>2170</v>
      </c>
      <c r="D561" s="284" t="s">
        <v>3503</v>
      </c>
      <c r="E561" s="285" t="s">
        <v>1974</v>
      </c>
      <c r="F561" s="286" t="s">
        <v>2171</v>
      </c>
      <c r="G561" s="284">
        <v>150</v>
      </c>
      <c r="H561" s="284">
        <v>12</v>
      </c>
      <c r="I561" s="284">
        <v>0.95</v>
      </c>
      <c r="J561" s="287">
        <f t="shared" si="146"/>
        <v>41495.99999999999</v>
      </c>
      <c r="K561" s="288">
        <v>3.84</v>
      </c>
      <c r="L561" s="289">
        <f t="shared" si="147"/>
        <v>13977.599999999999</v>
      </c>
      <c r="M561" s="288">
        <v>5</v>
      </c>
      <c r="N561" s="289">
        <f t="shared" si="148"/>
        <v>18200</v>
      </c>
      <c r="O561" s="290">
        <v>44.28</v>
      </c>
      <c r="P561" s="291" t="s">
        <v>433</v>
      </c>
      <c r="Q561" s="288">
        <v>1.07</v>
      </c>
      <c r="R561" s="289">
        <f t="shared" si="149"/>
        <v>53965.3644</v>
      </c>
      <c r="S561" s="292" t="s">
        <v>295</v>
      </c>
      <c r="T561" s="296">
        <f>'Nhan cong'!M$38</f>
        <v>125620.38461538461</v>
      </c>
      <c r="U561" s="250">
        <f t="shared" si="150"/>
        <v>253259</v>
      </c>
      <c r="V561" s="250">
        <v>271205</v>
      </c>
      <c r="W561" s="250">
        <v>253259</v>
      </c>
      <c r="X561" s="250">
        <v>226939</v>
      </c>
      <c r="Y561" s="293">
        <v>54600</v>
      </c>
      <c r="Z561" s="294"/>
      <c r="AA561" s="251"/>
      <c r="AB561" s="251"/>
    </row>
    <row r="562" spans="1:28" s="295" customFormat="1" ht="15.75">
      <c r="A562" s="284">
        <v>474</v>
      </c>
      <c r="B562" s="284">
        <v>0</v>
      </c>
      <c r="C562" s="284" t="s">
        <v>2172</v>
      </c>
      <c r="D562" s="284" t="s">
        <v>3504</v>
      </c>
      <c r="E562" s="285" t="s">
        <v>1975</v>
      </c>
      <c r="F562" s="286" t="s">
        <v>2173</v>
      </c>
      <c r="G562" s="284">
        <v>150</v>
      </c>
      <c r="H562" s="284">
        <v>12</v>
      </c>
      <c r="I562" s="284">
        <v>0.95</v>
      </c>
      <c r="J562" s="287">
        <f t="shared" si="146"/>
        <v>58596</v>
      </c>
      <c r="K562" s="288">
        <v>3.84</v>
      </c>
      <c r="L562" s="289">
        <f t="shared" si="147"/>
        <v>19737.600000000002</v>
      </c>
      <c r="M562" s="288">
        <v>5</v>
      </c>
      <c r="N562" s="289">
        <f t="shared" si="148"/>
        <v>25700</v>
      </c>
      <c r="O562" s="290">
        <v>52.38</v>
      </c>
      <c r="P562" s="291" t="s">
        <v>433</v>
      </c>
      <c r="Q562" s="288">
        <v>1.07</v>
      </c>
      <c r="R562" s="289">
        <f t="shared" si="149"/>
        <v>63837.0774</v>
      </c>
      <c r="S562" s="292" t="s">
        <v>295</v>
      </c>
      <c r="T562" s="296">
        <f>'Nhan cong'!M$38</f>
        <v>125620.38461538461</v>
      </c>
      <c r="U562" s="250">
        <f t="shared" si="150"/>
        <v>293491</v>
      </c>
      <c r="V562" s="250">
        <v>311437</v>
      </c>
      <c r="W562" s="250">
        <v>293491</v>
      </c>
      <c r="X562" s="250">
        <v>267171</v>
      </c>
      <c r="Y562" s="293">
        <v>77100</v>
      </c>
      <c r="Z562" s="294"/>
      <c r="AA562" s="251"/>
      <c r="AB562" s="251"/>
    </row>
    <row r="563" spans="1:28" s="295" customFormat="1" ht="15.75">
      <c r="A563" s="284">
        <v>475</v>
      </c>
      <c r="B563" s="284">
        <v>0</v>
      </c>
      <c r="C563" s="284" t="s">
        <v>2174</v>
      </c>
      <c r="D563" s="284" t="s">
        <v>3505</v>
      </c>
      <c r="E563" s="285" t="s">
        <v>1976</v>
      </c>
      <c r="F563" s="286" t="s">
        <v>2175</v>
      </c>
      <c r="G563" s="284">
        <v>150</v>
      </c>
      <c r="H563" s="284">
        <v>12</v>
      </c>
      <c r="I563" s="284">
        <v>0.95</v>
      </c>
      <c r="J563" s="287">
        <f t="shared" si="146"/>
        <v>75088</v>
      </c>
      <c r="K563" s="288">
        <v>3.84</v>
      </c>
      <c r="L563" s="289">
        <f t="shared" si="147"/>
        <v>25292.799999999996</v>
      </c>
      <c r="M563" s="288">
        <v>5</v>
      </c>
      <c r="N563" s="289">
        <f t="shared" si="148"/>
        <v>32933.33333333333</v>
      </c>
      <c r="O563" s="290">
        <v>80.46</v>
      </c>
      <c r="P563" s="291" t="s">
        <v>433</v>
      </c>
      <c r="Q563" s="288">
        <v>1.07</v>
      </c>
      <c r="R563" s="289">
        <f t="shared" si="149"/>
        <v>98059.0158</v>
      </c>
      <c r="S563" s="292" t="s">
        <v>295</v>
      </c>
      <c r="T563" s="296">
        <f>'Nhan cong'!M$38</f>
        <v>125620.38461538461</v>
      </c>
      <c r="U563" s="250">
        <f>ROUND((J563+L563+N563+R563+T563),0)-1</f>
        <v>356993</v>
      </c>
      <c r="V563" s="250">
        <v>374939</v>
      </c>
      <c r="W563" s="250">
        <v>356993</v>
      </c>
      <c r="X563" s="250">
        <v>330673</v>
      </c>
      <c r="Y563" s="293">
        <v>98800</v>
      </c>
      <c r="Z563" s="294"/>
      <c r="AA563" s="251"/>
      <c r="AB563" s="251"/>
    </row>
    <row r="564" spans="1:28" s="295" customFormat="1" ht="15.75">
      <c r="A564" s="284">
        <v>476</v>
      </c>
      <c r="B564" s="284">
        <v>0</v>
      </c>
      <c r="C564" s="284" t="s">
        <v>2176</v>
      </c>
      <c r="D564" s="284" t="s">
        <v>3506</v>
      </c>
      <c r="E564" s="285" t="s">
        <v>1977</v>
      </c>
      <c r="F564" s="286" t="s">
        <v>1308</v>
      </c>
      <c r="G564" s="284">
        <v>150</v>
      </c>
      <c r="H564" s="284">
        <v>12</v>
      </c>
      <c r="I564" s="284">
        <v>0.95</v>
      </c>
      <c r="J564" s="287">
        <f t="shared" si="146"/>
        <v>94923.99999999999</v>
      </c>
      <c r="K564" s="288">
        <v>3.84</v>
      </c>
      <c r="L564" s="289">
        <f t="shared" si="147"/>
        <v>31974.399999999998</v>
      </c>
      <c r="M564" s="288">
        <v>5</v>
      </c>
      <c r="N564" s="289">
        <f t="shared" si="148"/>
        <v>41633.333333333336</v>
      </c>
      <c r="O564" s="290">
        <v>86.4</v>
      </c>
      <c r="P564" s="291" t="s">
        <v>433</v>
      </c>
      <c r="Q564" s="288">
        <v>1.07</v>
      </c>
      <c r="R564" s="289">
        <f t="shared" si="149"/>
        <v>105298.27200000001</v>
      </c>
      <c r="S564" s="292" t="s">
        <v>295</v>
      </c>
      <c r="T564" s="296">
        <f>'Nhan cong'!M$38</f>
        <v>125620.38461538461</v>
      </c>
      <c r="U564" s="250">
        <f t="shared" si="150"/>
        <v>399450</v>
      </c>
      <c r="V564" s="250">
        <v>417396</v>
      </c>
      <c r="W564" s="250">
        <v>399450</v>
      </c>
      <c r="X564" s="250">
        <v>373130</v>
      </c>
      <c r="Y564" s="293">
        <v>124900</v>
      </c>
      <c r="Z564" s="294"/>
      <c r="AA564" s="251"/>
      <c r="AB564" s="251"/>
    </row>
    <row r="565" spans="1:28" s="295" customFormat="1" ht="15.75">
      <c r="A565" s="284">
        <v>477</v>
      </c>
      <c r="B565" s="284">
        <v>0</v>
      </c>
      <c r="C565" s="284" t="s">
        <v>2177</v>
      </c>
      <c r="D565" s="284" t="s">
        <v>3507</v>
      </c>
      <c r="E565" s="285" t="s">
        <v>1978</v>
      </c>
      <c r="F565" s="286" t="s">
        <v>1310</v>
      </c>
      <c r="G565" s="284">
        <v>150</v>
      </c>
      <c r="H565" s="284">
        <v>12</v>
      </c>
      <c r="I565" s="284">
        <v>0.95</v>
      </c>
      <c r="J565" s="287">
        <f t="shared" si="146"/>
        <v>204896</v>
      </c>
      <c r="K565" s="288">
        <v>3.36</v>
      </c>
      <c r="L565" s="289">
        <f t="shared" si="147"/>
        <v>60390.4</v>
      </c>
      <c r="M565" s="288">
        <v>5</v>
      </c>
      <c r="N565" s="289">
        <f t="shared" si="148"/>
        <v>89866.66666666666</v>
      </c>
      <c r="O565" s="290">
        <v>125.28</v>
      </c>
      <c r="P565" s="291" t="s">
        <v>433</v>
      </c>
      <c r="Q565" s="288">
        <v>1.07</v>
      </c>
      <c r="R565" s="289">
        <f t="shared" si="149"/>
        <v>152682.49440000003</v>
      </c>
      <c r="S565" s="292" t="s">
        <v>1591</v>
      </c>
      <c r="T565" s="289">
        <f>'Nhan cong'!$M$42</f>
        <v>145974.23076923078</v>
      </c>
      <c r="U565" s="250">
        <f t="shared" si="150"/>
        <v>653810</v>
      </c>
      <c r="V565" s="250">
        <v>674664</v>
      </c>
      <c r="W565" s="250">
        <v>653810</v>
      </c>
      <c r="X565" s="250">
        <v>623225</v>
      </c>
      <c r="Y565" s="293">
        <v>269600</v>
      </c>
      <c r="Z565" s="294"/>
      <c r="AA565" s="251"/>
      <c r="AB565" s="251"/>
    </row>
    <row r="566" spans="1:28" s="295" customFormat="1" ht="15.75">
      <c r="A566" s="297"/>
      <c r="B566" s="284"/>
      <c r="C566" s="298"/>
      <c r="D566" s="284"/>
      <c r="E566" s="272"/>
      <c r="F566" s="151" t="s">
        <v>2178</v>
      </c>
      <c r="G566" s="284"/>
      <c r="H566" s="284"/>
      <c r="I566" s="284"/>
      <c r="J566" s="299"/>
      <c r="K566" s="288"/>
      <c r="L566" s="289"/>
      <c r="M566" s="288"/>
      <c r="N566" s="300"/>
      <c r="O566" s="290"/>
      <c r="P566" s="291"/>
      <c r="Q566" s="288"/>
      <c r="R566" s="300"/>
      <c r="S566" s="292"/>
      <c r="T566" s="289"/>
      <c r="U566" s="250"/>
      <c r="V566" s="250"/>
      <c r="W566" s="250"/>
      <c r="X566" s="250"/>
      <c r="Y566" s="293"/>
      <c r="Z566" s="385"/>
      <c r="AA566" s="251"/>
      <c r="AB566" s="251"/>
    </row>
    <row r="567" spans="1:28" s="295" customFormat="1" ht="15.75">
      <c r="A567" s="284">
        <v>478</v>
      </c>
      <c r="B567" s="284">
        <v>0</v>
      </c>
      <c r="C567" s="284" t="s">
        <v>2179</v>
      </c>
      <c r="D567" s="284" t="s">
        <v>3508</v>
      </c>
      <c r="E567" s="285" t="s">
        <v>1979</v>
      </c>
      <c r="F567" s="286" t="s">
        <v>2180</v>
      </c>
      <c r="G567" s="284">
        <v>180</v>
      </c>
      <c r="H567" s="284">
        <v>24</v>
      </c>
      <c r="I567" s="284">
        <v>0.95</v>
      </c>
      <c r="J567" s="287">
        <f>Y567*H567%*I567/G567*1000</f>
        <v>25586.666666666664</v>
      </c>
      <c r="K567" s="288">
        <v>4.5</v>
      </c>
      <c r="L567" s="289">
        <f>(Y567*K567%)/G567*1000</f>
        <v>5050</v>
      </c>
      <c r="M567" s="288">
        <v>5</v>
      </c>
      <c r="N567" s="289">
        <f>(Y567*M567%)/G567*1000</f>
        <v>5611.11111111111</v>
      </c>
      <c r="O567" s="290">
        <v>84</v>
      </c>
      <c r="P567" s="291" t="s">
        <v>433</v>
      </c>
      <c r="Q567" s="288">
        <v>1.07</v>
      </c>
      <c r="R567" s="289">
        <f>O567*dien*Q567</f>
        <v>102373.32</v>
      </c>
      <c r="S567" s="292" t="s">
        <v>1591</v>
      </c>
      <c r="T567" s="289">
        <f>'Nhan cong'!$M$42</f>
        <v>145974.23076923078</v>
      </c>
      <c r="U567" s="250">
        <f>ROUND((J567+L567+N567+R567+T567),0)</f>
        <v>284595</v>
      </c>
      <c r="V567" s="250">
        <v>305449</v>
      </c>
      <c r="W567" s="250">
        <v>284595</v>
      </c>
      <c r="X567" s="250">
        <v>254010</v>
      </c>
      <c r="Y567" s="293">
        <v>20200</v>
      </c>
      <c r="Z567" s="294"/>
      <c r="AA567" s="251"/>
      <c r="AB567" s="251"/>
    </row>
    <row r="568" spans="1:28" s="295" customFormat="1" ht="15.75">
      <c r="A568" s="284">
        <v>479</v>
      </c>
      <c r="B568" s="284">
        <v>0</v>
      </c>
      <c r="C568" s="284" t="s">
        <v>2181</v>
      </c>
      <c r="D568" s="284" t="s">
        <v>3509</v>
      </c>
      <c r="E568" s="285" t="s">
        <v>1980</v>
      </c>
      <c r="F568" s="286" t="s">
        <v>1288</v>
      </c>
      <c r="G568" s="284">
        <v>180</v>
      </c>
      <c r="H568" s="284">
        <v>24</v>
      </c>
      <c r="I568" s="284">
        <v>0.95</v>
      </c>
      <c r="J568" s="287">
        <f>Y568*H568%*I568/G568*1000</f>
        <v>32933.33333333333</v>
      </c>
      <c r="K568" s="288">
        <v>4.5</v>
      </c>
      <c r="L568" s="289">
        <f>(Y568*K568%)/G568*1000</f>
        <v>6500</v>
      </c>
      <c r="M568" s="288">
        <v>5</v>
      </c>
      <c r="N568" s="289">
        <f>(Y568*M568%)/G568*1000</f>
        <v>7222.222222222223</v>
      </c>
      <c r="O568" s="290">
        <v>105</v>
      </c>
      <c r="P568" s="291" t="s">
        <v>433</v>
      </c>
      <c r="Q568" s="288">
        <v>1.07</v>
      </c>
      <c r="R568" s="289">
        <f>O568*dien*Q568</f>
        <v>127966.65000000001</v>
      </c>
      <c r="S568" s="292" t="s">
        <v>1591</v>
      </c>
      <c r="T568" s="289">
        <f>'Nhan cong'!$M$42</f>
        <v>145974.23076923078</v>
      </c>
      <c r="U568" s="250">
        <f>ROUND((J568+L568+N568+R568+T568),0)</f>
        <v>320596</v>
      </c>
      <c r="V568" s="250">
        <v>341450</v>
      </c>
      <c r="W568" s="250">
        <v>320596</v>
      </c>
      <c r="X568" s="250">
        <v>290011</v>
      </c>
      <c r="Y568" s="293">
        <v>26000</v>
      </c>
      <c r="Z568" s="294"/>
      <c r="AA568" s="251"/>
      <c r="AB568" s="251"/>
    </row>
    <row r="569" spans="1:28" s="295" customFormat="1" ht="15.75">
      <c r="A569" s="297"/>
      <c r="B569" s="284"/>
      <c r="C569" s="298"/>
      <c r="D569" s="284"/>
      <c r="E569" s="272"/>
      <c r="F569" s="151" t="s">
        <v>2182</v>
      </c>
      <c r="G569" s="284"/>
      <c r="H569" s="284"/>
      <c r="I569" s="284"/>
      <c r="J569" s="299"/>
      <c r="K569" s="288"/>
      <c r="L569" s="289"/>
      <c r="M569" s="288"/>
      <c r="N569" s="300"/>
      <c r="O569" s="290"/>
      <c r="P569" s="291"/>
      <c r="Q569" s="288"/>
      <c r="R569" s="300"/>
      <c r="S569" s="292"/>
      <c r="T569" s="289"/>
      <c r="U569" s="250"/>
      <c r="V569" s="250"/>
      <c r="W569" s="250"/>
      <c r="X569" s="250"/>
      <c r="Y569" s="293"/>
      <c r="Z569" s="385"/>
      <c r="AA569" s="251"/>
      <c r="AB569" s="251"/>
    </row>
    <row r="570" spans="1:28" s="295" customFormat="1" ht="15.75">
      <c r="A570" s="284">
        <v>480</v>
      </c>
      <c r="B570" s="284">
        <v>0</v>
      </c>
      <c r="C570" s="284" t="s">
        <v>2183</v>
      </c>
      <c r="D570" s="284" t="s">
        <v>1211</v>
      </c>
      <c r="E570" s="285" t="s">
        <v>1981</v>
      </c>
      <c r="F570" s="286" t="s">
        <v>2184</v>
      </c>
      <c r="G570" s="284">
        <v>180</v>
      </c>
      <c r="H570" s="284">
        <v>24</v>
      </c>
      <c r="I570" s="284">
        <v>1</v>
      </c>
      <c r="J570" s="287">
        <f aca="true" t="shared" si="151" ref="J570:J578">Y570*H570%*I570/G570*1000</f>
        <v>3600</v>
      </c>
      <c r="K570" s="288">
        <v>4.84</v>
      </c>
      <c r="L570" s="289">
        <f aca="true" t="shared" si="152" ref="L570:L578">(Y570*K570%)/G570*1000</f>
        <v>726.0000000000001</v>
      </c>
      <c r="M570" s="288">
        <v>5</v>
      </c>
      <c r="N570" s="289">
        <f aca="true" t="shared" si="153" ref="N570:N578">(Y570*M570%)/G570*1000</f>
        <v>750</v>
      </c>
      <c r="O570" s="290">
        <v>8.4</v>
      </c>
      <c r="P570" s="291" t="s">
        <v>433</v>
      </c>
      <c r="Q570" s="288">
        <v>1.07</v>
      </c>
      <c r="R570" s="289">
        <f aca="true" t="shared" si="154" ref="R570:R578">O570*dien*Q570</f>
        <v>10237.332</v>
      </c>
      <c r="S570" s="292" t="s">
        <v>1591</v>
      </c>
      <c r="T570" s="289">
        <f>'Nhan cong'!$M$42</f>
        <v>145974.23076923078</v>
      </c>
      <c r="U570" s="250">
        <f>ROUND((J570+L570+N570+R570+T570),0)-1</f>
        <v>161287</v>
      </c>
      <c r="V570" s="250">
        <v>182141</v>
      </c>
      <c r="W570" s="250">
        <v>161287</v>
      </c>
      <c r="X570" s="250">
        <v>130702</v>
      </c>
      <c r="Y570" s="293">
        <v>2700</v>
      </c>
      <c r="Z570" s="294"/>
      <c r="AA570" s="251"/>
      <c r="AB570" s="251"/>
    </row>
    <row r="571" spans="1:28" s="295" customFormat="1" ht="15.75">
      <c r="A571" s="284">
        <v>481</v>
      </c>
      <c r="B571" s="284">
        <v>0</v>
      </c>
      <c r="C571" s="284" t="s">
        <v>2185</v>
      </c>
      <c r="D571" s="284" t="s">
        <v>1219</v>
      </c>
      <c r="E571" s="285" t="s">
        <v>1982</v>
      </c>
      <c r="F571" s="286" t="s">
        <v>2186</v>
      </c>
      <c r="G571" s="284">
        <v>180</v>
      </c>
      <c r="H571" s="284">
        <v>24</v>
      </c>
      <c r="I571" s="284">
        <v>1</v>
      </c>
      <c r="J571" s="287">
        <f t="shared" si="151"/>
        <v>5733.333333333333</v>
      </c>
      <c r="K571" s="288">
        <v>4.84</v>
      </c>
      <c r="L571" s="289">
        <f t="shared" si="152"/>
        <v>1156.2222222222222</v>
      </c>
      <c r="M571" s="288">
        <v>5</v>
      </c>
      <c r="N571" s="289">
        <f t="shared" si="153"/>
        <v>1194.4444444444443</v>
      </c>
      <c r="O571" s="290">
        <v>14.7</v>
      </c>
      <c r="P571" s="291" t="s">
        <v>433</v>
      </c>
      <c r="Q571" s="288">
        <v>1.07</v>
      </c>
      <c r="R571" s="289">
        <f t="shared" si="154"/>
        <v>17915.331000000002</v>
      </c>
      <c r="S571" s="292" t="s">
        <v>1591</v>
      </c>
      <c r="T571" s="289">
        <f>'Nhan cong'!$M$42</f>
        <v>145974.23076923078</v>
      </c>
      <c r="U571" s="250">
        <f>ROUND((J571+L571+N571+R571+T571),0)-1</f>
        <v>171973</v>
      </c>
      <c r="V571" s="250">
        <v>192827</v>
      </c>
      <c r="W571" s="250">
        <v>171973</v>
      </c>
      <c r="X571" s="250">
        <v>141388</v>
      </c>
      <c r="Y571" s="293">
        <v>4300</v>
      </c>
      <c r="Z571" s="294"/>
      <c r="AA571" s="251"/>
      <c r="AB571" s="251"/>
    </row>
    <row r="572" spans="1:28" s="295" customFormat="1" ht="15.75">
      <c r="A572" s="284">
        <v>482</v>
      </c>
      <c r="B572" s="284" t="s">
        <v>740</v>
      </c>
      <c r="C572" s="284" t="s">
        <v>2187</v>
      </c>
      <c r="D572" s="284" t="s">
        <v>1215</v>
      </c>
      <c r="E572" s="285" t="s">
        <v>111</v>
      </c>
      <c r="F572" s="286" t="s">
        <v>2188</v>
      </c>
      <c r="G572" s="284">
        <v>180</v>
      </c>
      <c r="H572" s="284">
        <v>24</v>
      </c>
      <c r="I572" s="284">
        <v>1</v>
      </c>
      <c r="J572" s="287">
        <f t="shared" si="151"/>
        <v>6266.666666666667</v>
      </c>
      <c r="K572" s="301">
        <v>4.8</v>
      </c>
      <c r="L572" s="289">
        <f t="shared" si="152"/>
        <v>1253.3333333333335</v>
      </c>
      <c r="M572" s="301">
        <v>5</v>
      </c>
      <c r="N572" s="289">
        <f t="shared" si="153"/>
        <v>1305.5555555555557</v>
      </c>
      <c r="O572" s="302">
        <v>15.8</v>
      </c>
      <c r="P572" s="272" t="s">
        <v>433</v>
      </c>
      <c r="Q572" s="288">
        <v>1.07</v>
      </c>
      <c r="R572" s="289">
        <f t="shared" si="154"/>
        <v>19255.934</v>
      </c>
      <c r="S572" s="284" t="s">
        <v>1591</v>
      </c>
      <c r="T572" s="296">
        <f>Nii4</f>
        <v>145974.23076923078</v>
      </c>
      <c r="U572" s="250">
        <f>ROUND((J572+L572+N572+R572+T572),0)-1</f>
        <v>174055</v>
      </c>
      <c r="V572" s="250">
        <v>194909</v>
      </c>
      <c r="W572" s="250">
        <v>174055</v>
      </c>
      <c r="X572" s="250">
        <v>143481</v>
      </c>
      <c r="Y572" s="293">
        <v>4700</v>
      </c>
      <c r="Z572" s="294"/>
      <c r="AA572" s="251"/>
      <c r="AB572" s="251"/>
    </row>
    <row r="573" spans="1:28" s="295" customFormat="1" ht="15.75">
      <c r="A573" s="284">
        <v>483</v>
      </c>
      <c r="B573" s="284">
        <v>0</v>
      </c>
      <c r="C573" s="284" t="s">
        <v>2189</v>
      </c>
      <c r="D573" s="284" t="s">
        <v>1179</v>
      </c>
      <c r="E573" s="285" t="s">
        <v>1983</v>
      </c>
      <c r="F573" s="286" t="s">
        <v>1106</v>
      </c>
      <c r="G573" s="284">
        <v>180</v>
      </c>
      <c r="H573" s="284">
        <v>24</v>
      </c>
      <c r="I573" s="284">
        <v>1</v>
      </c>
      <c r="J573" s="287">
        <f t="shared" si="151"/>
        <v>8000</v>
      </c>
      <c r="K573" s="288">
        <v>4.84</v>
      </c>
      <c r="L573" s="289">
        <f t="shared" si="152"/>
        <v>1613.3333333333333</v>
      </c>
      <c r="M573" s="288">
        <v>5</v>
      </c>
      <c r="N573" s="289">
        <f t="shared" si="153"/>
        <v>1666.6666666666667</v>
      </c>
      <c r="O573" s="290">
        <v>21</v>
      </c>
      <c r="P573" s="291" t="s">
        <v>433</v>
      </c>
      <c r="Q573" s="288">
        <v>1.07</v>
      </c>
      <c r="R573" s="289">
        <f t="shared" si="154"/>
        <v>25593.33</v>
      </c>
      <c r="S573" s="292" t="s">
        <v>1591</v>
      </c>
      <c r="T573" s="289">
        <f>'Nhan cong'!$M$42</f>
        <v>145974.23076923078</v>
      </c>
      <c r="U573" s="250">
        <f>ROUND((J573+L573+N573+R573+T573),0)-1</f>
        <v>182847</v>
      </c>
      <c r="V573" s="250">
        <v>203701</v>
      </c>
      <c r="W573" s="250">
        <v>182847</v>
      </c>
      <c r="X573" s="250">
        <v>152262</v>
      </c>
      <c r="Y573" s="293">
        <v>6000</v>
      </c>
      <c r="Z573" s="294"/>
      <c r="AA573" s="251"/>
      <c r="AB573" s="251"/>
    </row>
    <row r="574" spans="1:28" s="295" customFormat="1" ht="15.75">
      <c r="A574" s="284">
        <v>484</v>
      </c>
      <c r="B574" s="284" t="s">
        <v>721</v>
      </c>
      <c r="C574" s="284" t="s">
        <v>2190</v>
      </c>
      <c r="D574" s="284" t="s">
        <v>1184</v>
      </c>
      <c r="E574" s="285" t="s">
        <v>1984</v>
      </c>
      <c r="F574" s="286" t="s">
        <v>2191</v>
      </c>
      <c r="G574" s="284">
        <v>180</v>
      </c>
      <c r="H574" s="284">
        <v>24</v>
      </c>
      <c r="I574" s="284">
        <v>1</v>
      </c>
      <c r="J574" s="287">
        <f t="shared" si="151"/>
        <v>11466.666666666666</v>
      </c>
      <c r="K574" s="288">
        <v>4.84</v>
      </c>
      <c r="L574" s="289">
        <f t="shared" si="152"/>
        <v>2312.4444444444443</v>
      </c>
      <c r="M574" s="288">
        <v>5</v>
      </c>
      <c r="N574" s="289">
        <f t="shared" si="153"/>
        <v>2388.8888888888887</v>
      </c>
      <c r="O574" s="290">
        <v>29.4</v>
      </c>
      <c r="P574" s="291" t="s">
        <v>433</v>
      </c>
      <c r="Q574" s="288">
        <v>1.07</v>
      </c>
      <c r="R574" s="289">
        <f t="shared" si="154"/>
        <v>35830.662000000004</v>
      </c>
      <c r="S574" s="292" t="s">
        <v>1591</v>
      </c>
      <c r="T574" s="289">
        <f>'Nhan cong'!$M$42</f>
        <v>145974.23076923078</v>
      </c>
      <c r="U574" s="250">
        <f>ROUND((J574+L574+N574+R574+T574),0)</f>
        <v>197973</v>
      </c>
      <c r="V574" s="250">
        <v>218827</v>
      </c>
      <c r="W574" s="250">
        <v>197973</v>
      </c>
      <c r="X574" s="250">
        <v>167388</v>
      </c>
      <c r="Y574" s="293">
        <v>8600</v>
      </c>
      <c r="Z574" s="294"/>
      <c r="AA574" s="251"/>
      <c r="AB574" s="251"/>
    </row>
    <row r="575" spans="1:28" s="295" customFormat="1" ht="15.75">
      <c r="A575" s="284">
        <v>485</v>
      </c>
      <c r="B575" s="284" t="s">
        <v>606</v>
      </c>
      <c r="C575" s="284" t="s">
        <v>2192</v>
      </c>
      <c r="D575" s="284" t="s">
        <v>1189</v>
      </c>
      <c r="E575" s="285" t="s">
        <v>1985</v>
      </c>
      <c r="F575" s="286" t="s">
        <v>2193</v>
      </c>
      <c r="G575" s="284">
        <v>180</v>
      </c>
      <c r="H575" s="284">
        <v>24</v>
      </c>
      <c r="I575" s="284">
        <v>0.95</v>
      </c>
      <c r="J575" s="287">
        <f t="shared" si="151"/>
        <v>20266.666666666664</v>
      </c>
      <c r="K575" s="288">
        <v>4.84</v>
      </c>
      <c r="L575" s="289">
        <f t="shared" si="152"/>
        <v>4302.222222222223</v>
      </c>
      <c r="M575" s="288">
        <v>5</v>
      </c>
      <c r="N575" s="289">
        <f t="shared" si="153"/>
        <v>4444.444444444444</v>
      </c>
      <c r="O575" s="290">
        <v>48.3</v>
      </c>
      <c r="P575" s="291" t="s">
        <v>433</v>
      </c>
      <c r="Q575" s="288">
        <v>1.07</v>
      </c>
      <c r="R575" s="289">
        <f t="shared" si="154"/>
        <v>58864.659</v>
      </c>
      <c r="S575" s="292" t="s">
        <v>1591</v>
      </c>
      <c r="T575" s="289">
        <f>'Nhan cong'!$M$42</f>
        <v>145974.23076923078</v>
      </c>
      <c r="U575" s="250">
        <f>ROUND((J575+L575+N575+R575+T575),0)</f>
        <v>233852</v>
      </c>
      <c r="V575" s="250">
        <v>254706</v>
      </c>
      <c r="W575" s="250">
        <v>233852</v>
      </c>
      <c r="X575" s="250">
        <v>203267</v>
      </c>
      <c r="Y575" s="293">
        <v>16000</v>
      </c>
      <c r="Z575" s="294"/>
      <c r="AA575" s="251"/>
      <c r="AB575" s="251"/>
    </row>
    <row r="576" spans="1:28" s="295" customFormat="1" ht="15.75">
      <c r="A576" s="284">
        <v>486</v>
      </c>
      <c r="B576" s="284">
        <v>0</v>
      </c>
      <c r="C576" s="284" t="s">
        <v>2194</v>
      </c>
      <c r="D576" s="284" t="s">
        <v>1195</v>
      </c>
      <c r="E576" s="285" t="s">
        <v>1986</v>
      </c>
      <c r="F576" s="286" t="s">
        <v>2195</v>
      </c>
      <c r="G576" s="284">
        <v>180</v>
      </c>
      <c r="H576" s="284">
        <v>24</v>
      </c>
      <c r="I576" s="284">
        <v>0.95</v>
      </c>
      <c r="J576" s="287">
        <f t="shared" si="151"/>
        <v>23686.666666666664</v>
      </c>
      <c r="K576" s="288">
        <v>4.8</v>
      </c>
      <c r="L576" s="289">
        <f t="shared" si="152"/>
        <v>4986.666666666666</v>
      </c>
      <c r="M576" s="288">
        <v>5</v>
      </c>
      <c r="N576" s="289">
        <f t="shared" si="153"/>
        <v>5194.444444444444</v>
      </c>
      <c r="O576" s="290">
        <v>57.75</v>
      </c>
      <c r="P576" s="291" t="s">
        <v>433</v>
      </c>
      <c r="Q576" s="288">
        <v>1.07</v>
      </c>
      <c r="R576" s="289">
        <f t="shared" si="154"/>
        <v>70381.6575</v>
      </c>
      <c r="S576" s="292" t="s">
        <v>1591</v>
      </c>
      <c r="T576" s="289">
        <f>'Nhan cong'!$M$42</f>
        <v>145974.23076923078</v>
      </c>
      <c r="U576" s="250">
        <f>ROUND((J576+L576+N576+R576+T576),0)</f>
        <v>250224</v>
      </c>
      <c r="V576" s="250">
        <v>271077</v>
      </c>
      <c r="W576" s="250">
        <v>250224</v>
      </c>
      <c r="X576" s="250">
        <v>219638</v>
      </c>
      <c r="Y576" s="293">
        <v>18700</v>
      </c>
      <c r="Z576" s="294"/>
      <c r="AA576" s="251"/>
      <c r="AB576" s="251"/>
    </row>
    <row r="577" spans="1:28" s="295" customFormat="1" ht="15.75">
      <c r="A577" s="284">
        <v>487</v>
      </c>
      <c r="B577" s="284">
        <v>0</v>
      </c>
      <c r="C577" s="284" t="s">
        <v>2196</v>
      </c>
      <c r="D577" s="284" t="s">
        <v>1200</v>
      </c>
      <c r="E577" s="285" t="s">
        <v>1987</v>
      </c>
      <c r="F577" s="286" t="s">
        <v>2197</v>
      </c>
      <c r="G577" s="284">
        <v>180</v>
      </c>
      <c r="H577" s="284">
        <v>24</v>
      </c>
      <c r="I577" s="284">
        <v>0.95</v>
      </c>
      <c r="J577" s="287">
        <f t="shared" si="151"/>
        <v>24700</v>
      </c>
      <c r="K577" s="288">
        <v>4.8</v>
      </c>
      <c r="L577" s="289">
        <f t="shared" si="152"/>
        <v>5200</v>
      </c>
      <c r="M577" s="288">
        <v>5</v>
      </c>
      <c r="N577" s="289">
        <f t="shared" si="153"/>
        <v>5416.666666666667</v>
      </c>
      <c r="O577" s="290">
        <v>61.32</v>
      </c>
      <c r="P577" s="291" t="s">
        <v>433</v>
      </c>
      <c r="Q577" s="288">
        <v>1.07</v>
      </c>
      <c r="R577" s="289">
        <f t="shared" si="154"/>
        <v>74732.5236</v>
      </c>
      <c r="S577" s="292" t="s">
        <v>1591</v>
      </c>
      <c r="T577" s="289">
        <f>'Nhan cong'!$M$42</f>
        <v>145974.23076923078</v>
      </c>
      <c r="U577" s="250">
        <f>ROUND((J577+L577+N577+R577+T577),0)</f>
        <v>256023</v>
      </c>
      <c r="V577" s="250">
        <v>276877</v>
      </c>
      <c r="W577" s="250">
        <v>256023</v>
      </c>
      <c r="X577" s="250">
        <v>225438</v>
      </c>
      <c r="Y577" s="293">
        <v>19500</v>
      </c>
      <c r="Z577" s="294"/>
      <c r="AA577" s="251"/>
      <c r="AB577" s="251"/>
    </row>
    <row r="578" spans="1:28" s="295" customFormat="1" ht="15.75">
      <c r="A578" s="284">
        <v>488</v>
      </c>
      <c r="B578" s="284">
        <v>0</v>
      </c>
      <c r="C578" s="284" t="s">
        <v>2198</v>
      </c>
      <c r="D578" s="284" t="s">
        <v>1205</v>
      </c>
      <c r="E578" s="285" t="s">
        <v>1988</v>
      </c>
      <c r="F578" s="286" t="s">
        <v>2199</v>
      </c>
      <c r="G578" s="284">
        <v>180</v>
      </c>
      <c r="H578" s="284">
        <v>24</v>
      </c>
      <c r="I578" s="284">
        <v>0.95</v>
      </c>
      <c r="J578" s="287">
        <f t="shared" si="151"/>
        <v>27360</v>
      </c>
      <c r="K578" s="288">
        <v>4.8</v>
      </c>
      <c r="L578" s="289">
        <f t="shared" si="152"/>
        <v>5760</v>
      </c>
      <c r="M578" s="288">
        <v>5</v>
      </c>
      <c r="N578" s="289">
        <f t="shared" si="153"/>
        <v>6000</v>
      </c>
      <c r="O578" s="290">
        <v>70.35</v>
      </c>
      <c r="P578" s="291" t="s">
        <v>433</v>
      </c>
      <c r="Q578" s="288">
        <v>1.07</v>
      </c>
      <c r="R578" s="289">
        <f t="shared" si="154"/>
        <v>85737.6555</v>
      </c>
      <c r="S578" s="292" t="s">
        <v>1591</v>
      </c>
      <c r="T578" s="289">
        <f>'Nhan cong'!$M$42</f>
        <v>145974.23076923078</v>
      </c>
      <c r="U578" s="250">
        <f>ROUND((J578+L578+N578+R578+T578),0)</f>
        <v>270832</v>
      </c>
      <c r="V578" s="250">
        <v>291686</v>
      </c>
      <c r="W578" s="250">
        <v>270832</v>
      </c>
      <c r="X578" s="250">
        <v>240247</v>
      </c>
      <c r="Y578" s="293">
        <v>21600</v>
      </c>
      <c r="Z578" s="294"/>
      <c r="AA578" s="251"/>
      <c r="AB578" s="251"/>
    </row>
    <row r="579" spans="1:28" s="295" customFormat="1" ht="15.75">
      <c r="A579" s="297"/>
      <c r="B579" s="284"/>
      <c r="C579" s="298"/>
      <c r="D579" s="284"/>
      <c r="E579" s="272"/>
      <c r="F579" s="151" t="s">
        <v>2200</v>
      </c>
      <c r="G579" s="284"/>
      <c r="H579" s="284"/>
      <c r="I579" s="284"/>
      <c r="J579" s="299"/>
      <c r="K579" s="288"/>
      <c r="L579" s="289"/>
      <c r="M579" s="288"/>
      <c r="N579" s="300"/>
      <c r="O579" s="290"/>
      <c r="P579" s="291"/>
      <c r="Q579" s="288"/>
      <c r="R579" s="300"/>
      <c r="S579" s="292"/>
      <c r="T579" s="289"/>
      <c r="U579" s="250"/>
      <c r="V579" s="250"/>
      <c r="W579" s="250"/>
      <c r="X579" s="250"/>
      <c r="Y579" s="293"/>
      <c r="Z579" s="385"/>
      <c r="AA579" s="251"/>
      <c r="AB579" s="251"/>
    </row>
    <row r="580" spans="1:28" s="295" customFormat="1" ht="15.75">
      <c r="A580" s="284">
        <v>489</v>
      </c>
      <c r="B580" s="284">
        <v>0</v>
      </c>
      <c r="C580" s="284" t="s">
        <v>2201</v>
      </c>
      <c r="D580" s="284" t="s">
        <v>3510</v>
      </c>
      <c r="E580" s="285" t="s">
        <v>1989</v>
      </c>
      <c r="F580" s="286" t="s">
        <v>2202</v>
      </c>
      <c r="G580" s="284">
        <v>160</v>
      </c>
      <c r="H580" s="284">
        <v>20</v>
      </c>
      <c r="I580" s="284">
        <v>0.95</v>
      </c>
      <c r="J580" s="287">
        <f>Y580*H580%*I580/G580*1000</f>
        <v>33012.5</v>
      </c>
      <c r="K580" s="288">
        <v>5.6</v>
      </c>
      <c r="L580" s="289">
        <f>(Y580*K580%)/G580*1000</f>
        <v>9729.999999999998</v>
      </c>
      <c r="M580" s="288">
        <v>5</v>
      </c>
      <c r="N580" s="289">
        <f>(Y580*M580%)/G580*1000</f>
        <v>8687.5</v>
      </c>
      <c r="O580" s="290">
        <v>2.7</v>
      </c>
      <c r="P580" s="291" t="s">
        <v>294</v>
      </c>
      <c r="Q580" s="288">
        <v>1.03</v>
      </c>
      <c r="R580" s="289">
        <f>O580*xang*Q580</f>
        <v>53850.28284</v>
      </c>
      <c r="S580" s="292" t="s">
        <v>1591</v>
      </c>
      <c r="T580" s="289">
        <f>'Nhan cong'!$M$42</f>
        <v>145974.23076923078</v>
      </c>
      <c r="U580" s="250">
        <f>ROUND((J580+L580+N580+R580+T580),0)-1</f>
        <v>251254</v>
      </c>
      <c r="V580" s="250">
        <v>272108</v>
      </c>
      <c r="W580" s="250">
        <v>251254</v>
      </c>
      <c r="X580" s="250">
        <v>220669</v>
      </c>
      <c r="Y580" s="293">
        <v>27800</v>
      </c>
      <c r="Z580" s="294"/>
      <c r="AA580" s="251"/>
      <c r="AB580" s="251"/>
    </row>
    <row r="581" spans="1:28" s="295" customFormat="1" ht="15.75">
      <c r="A581" s="284">
        <v>490</v>
      </c>
      <c r="B581" s="284">
        <v>0</v>
      </c>
      <c r="C581" s="284" t="s">
        <v>2203</v>
      </c>
      <c r="D581" s="284" t="s">
        <v>3511</v>
      </c>
      <c r="E581" s="285" t="s">
        <v>1990</v>
      </c>
      <c r="F581" s="286" t="s">
        <v>2985</v>
      </c>
      <c r="G581" s="284">
        <v>160</v>
      </c>
      <c r="H581" s="284">
        <v>18</v>
      </c>
      <c r="I581" s="284">
        <v>0.95</v>
      </c>
      <c r="J581" s="287">
        <f>Y581*H581%*I581/G581*1000</f>
        <v>40291.875</v>
      </c>
      <c r="K581" s="288">
        <v>5.04</v>
      </c>
      <c r="L581" s="289">
        <f>(Y581*K581%)/G581*1000</f>
        <v>11875.499999999998</v>
      </c>
      <c r="M581" s="288">
        <v>5</v>
      </c>
      <c r="N581" s="289">
        <f>(Y581*M581%)/G581*1000</f>
        <v>11781.25</v>
      </c>
      <c r="O581" s="290">
        <v>4.8</v>
      </c>
      <c r="P581" s="291" t="s">
        <v>294</v>
      </c>
      <c r="Q581" s="288">
        <v>1.03</v>
      </c>
      <c r="R581" s="289">
        <f>O581*xang*Q581</f>
        <v>95733.83615999999</v>
      </c>
      <c r="S581" s="292" t="s">
        <v>1591</v>
      </c>
      <c r="T581" s="289">
        <f>'Nhan cong'!$M$42</f>
        <v>145974.23076923078</v>
      </c>
      <c r="U581" s="250">
        <f>ROUND((J581+L581+N581+R581+T581),0)-1</f>
        <v>305656</v>
      </c>
      <c r="V581" s="250">
        <v>326510</v>
      </c>
      <c r="W581" s="250">
        <v>305656</v>
      </c>
      <c r="X581" s="250">
        <v>275071</v>
      </c>
      <c r="Y581" s="293">
        <v>37700</v>
      </c>
      <c r="Z581" s="294"/>
      <c r="AA581" s="251"/>
      <c r="AB581" s="251"/>
    </row>
    <row r="582" spans="1:28" s="295" customFormat="1" ht="15.75">
      <c r="A582" s="297"/>
      <c r="B582" s="284"/>
      <c r="C582" s="298"/>
      <c r="D582" s="284"/>
      <c r="E582" s="272"/>
      <c r="F582" s="151" t="s">
        <v>2204</v>
      </c>
      <c r="G582" s="284"/>
      <c r="H582" s="284"/>
      <c r="I582" s="284"/>
      <c r="J582" s="299"/>
      <c r="K582" s="288"/>
      <c r="L582" s="289"/>
      <c r="M582" s="288"/>
      <c r="N582" s="300"/>
      <c r="O582" s="290"/>
      <c r="P582" s="291"/>
      <c r="Q582" s="288"/>
      <c r="R582" s="300"/>
      <c r="S582" s="292"/>
      <c r="T582" s="289"/>
      <c r="U582" s="250"/>
      <c r="V582" s="250"/>
      <c r="W582" s="250"/>
      <c r="X582" s="250"/>
      <c r="Y582" s="293"/>
      <c r="Z582" s="385"/>
      <c r="AA582" s="251"/>
      <c r="AB582" s="251"/>
    </row>
    <row r="583" spans="1:28" s="295" customFormat="1" ht="15.75">
      <c r="A583" s="284">
        <v>491</v>
      </c>
      <c r="B583" s="284">
        <v>0</v>
      </c>
      <c r="C583" s="284" t="s">
        <v>2205</v>
      </c>
      <c r="D583" s="284" t="s">
        <v>3512</v>
      </c>
      <c r="E583" s="285" t="s">
        <v>1991</v>
      </c>
      <c r="F583" s="286" t="s">
        <v>3004</v>
      </c>
      <c r="G583" s="284">
        <v>160</v>
      </c>
      <c r="H583" s="284">
        <v>20</v>
      </c>
      <c r="I583" s="284">
        <v>0.95</v>
      </c>
      <c r="J583" s="287">
        <f>Y583*H583%*I583/G583*1000</f>
        <v>20662.5</v>
      </c>
      <c r="K583" s="288">
        <v>5.6</v>
      </c>
      <c r="L583" s="289">
        <f>(Y583*K583%)/G583*1000</f>
        <v>6089.999999999999</v>
      </c>
      <c r="M583" s="288">
        <v>5</v>
      </c>
      <c r="N583" s="289">
        <f>(Y583*M583%)/G583*1000</f>
        <v>5437.5</v>
      </c>
      <c r="O583" s="290">
        <v>1.44</v>
      </c>
      <c r="P583" s="291" t="s">
        <v>1590</v>
      </c>
      <c r="Q583" s="288">
        <v>1.05</v>
      </c>
      <c r="R583" s="289">
        <f>O583*diezel*Q583</f>
        <v>29002.911839999997</v>
      </c>
      <c r="S583" s="292" t="s">
        <v>1591</v>
      </c>
      <c r="T583" s="289">
        <f>'Nhan cong'!$M$42</f>
        <v>145974.23076923078</v>
      </c>
      <c r="U583" s="250">
        <f>ROUND((J583+L583+N583+R583+T583),0)</f>
        <v>207167</v>
      </c>
      <c r="V583" s="250">
        <v>228021</v>
      </c>
      <c r="W583" s="250">
        <v>207167</v>
      </c>
      <c r="X583" s="250">
        <v>176582</v>
      </c>
      <c r="Y583" s="293">
        <v>17400</v>
      </c>
      <c r="Z583" s="294"/>
      <c r="AA583" s="251"/>
      <c r="AB583" s="251"/>
    </row>
    <row r="584" spans="1:28" s="295" customFormat="1" ht="15.75">
      <c r="A584" s="284">
        <v>492</v>
      </c>
      <c r="B584" s="284">
        <v>0</v>
      </c>
      <c r="C584" s="284" t="s">
        <v>2206</v>
      </c>
      <c r="D584" s="284" t="s">
        <v>3513</v>
      </c>
      <c r="E584" s="285" t="s">
        <v>1992</v>
      </c>
      <c r="F584" s="286" t="s">
        <v>2207</v>
      </c>
      <c r="G584" s="284">
        <v>160</v>
      </c>
      <c r="H584" s="284">
        <v>20</v>
      </c>
      <c r="I584" s="284">
        <v>0.95</v>
      </c>
      <c r="J584" s="287">
        <f>Y584*H584%*I584/G584*1000</f>
        <v>39306.25</v>
      </c>
      <c r="K584" s="288">
        <v>5.2</v>
      </c>
      <c r="L584" s="289">
        <f>(Y584*K584%)/G584*1000</f>
        <v>10757.5</v>
      </c>
      <c r="M584" s="288">
        <v>5</v>
      </c>
      <c r="N584" s="289">
        <f>(Y584*M584%)/G584*1000</f>
        <v>10343.75</v>
      </c>
      <c r="O584" s="290">
        <v>3.06</v>
      </c>
      <c r="P584" s="291" t="s">
        <v>1590</v>
      </c>
      <c r="Q584" s="288">
        <v>1.05</v>
      </c>
      <c r="R584" s="289">
        <f>O584*diezel*Q584</f>
        <v>61631.18766</v>
      </c>
      <c r="S584" s="292" t="s">
        <v>1591</v>
      </c>
      <c r="T584" s="289">
        <f>'Nhan cong'!$M$42</f>
        <v>145974.23076923078</v>
      </c>
      <c r="U584" s="250">
        <f>ROUND((J584+L584+N584+R584+T584),0)</f>
        <v>268013</v>
      </c>
      <c r="V584" s="250">
        <v>288867</v>
      </c>
      <c r="W584" s="250">
        <v>268013</v>
      </c>
      <c r="X584" s="250">
        <v>237428</v>
      </c>
      <c r="Y584" s="293">
        <v>33100</v>
      </c>
      <c r="Z584" s="294"/>
      <c r="AA584" s="251"/>
      <c r="AB584" s="251"/>
    </row>
    <row r="585" spans="1:28" s="295" customFormat="1" ht="15.75">
      <c r="A585" s="284">
        <v>493</v>
      </c>
      <c r="B585" s="284">
        <v>0</v>
      </c>
      <c r="C585" s="284" t="s">
        <v>2208</v>
      </c>
      <c r="D585" s="284" t="s">
        <v>3514</v>
      </c>
      <c r="E585" s="285" t="s">
        <v>112</v>
      </c>
      <c r="F585" s="286" t="s">
        <v>2209</v>
      </c>
      <c r="G585" s="284">
        <v>160</v>
      </c>
      <c r="H585" s="284">
        <v>18</v>
      </c>
      <c r="I585" s="284">
        <v>0.95</v>
      </c>
      <c r="J585" s="287">
        <f>Y585*H585%*I585/G585*1000</f>
        <v>59743.125</v>
      </c>
      <c r="K585" s="288">
        <v>4.5</v>
      </c>
      <c r="L585" s="289">
        <f>(Y585*K585%)/G585*1000</f>
        <v>15721.875</v>
      </c>
      <c r="M585" s="288">
        <v>5</v>
      </c>
      <c r="N585" s="289">
        <f>(Y585*M585%)/G585*1000</f>
        <v>17468.75</v>
      </c>
      <c r="O585" s="290">
        <v>7.425</v>
      </c>
      <c r="P585" s="291" t="s">
        <v>1590</v>
      </c>
      <c r="Q585" s="288">
        <v>1.05</v>
      </c>
      <c r="R585" s="289">
        <f>O585*diezel*Q585</f>
        <v>149546.26417500002</v>
      </c>
      <c r="S585" s="292" t="s">
        <v>1591</v>
      </c>
      <c r="T585" s="289">
        <f>'Nhan cong'!$M$42</f>
        <v>145974.23076923078</v>
      </c>
      <c r="U585" s="250">
        <f>ROUND((J585+L585+N585+R585+T585),0)+101</f>
        <v>388555</v>
      </c>
      <c r="V585" s="250">
        <v>409409</v>
      </c>
      <c r="W585" s="250">
        <v>388555</v>
      </c>
      <c r="X585" s="250">
        <v>357870</v>
      </c>
      <c r="Y585" s="293">
        <v>55900</v>
      </c>
      <c r="Z585" s="294"/>
      <c r="AA585" s="251"/>
      <c r="AB585" s="251"/>
    </row>
    <row r="586" spans="1:28" s="295" customFormat="1" ht="15.75">
      <c r="A586" s="297"/>
      <c r="B586" s="284"/>
      <c r="C586" s="298"/>
      <c r="D586" s="284"/>
      <c r="E586" s="272"/>
      <c r="F586" s="151" t="s">
        <v>2210</v>
      </c>
      <c r="G586" s="284"/>
      <c r="H586" s="284"/>
      <c r="I586" s="284"/>
      <c r="J586" s="299"/>
      <c r="K586" s="288"/>
      <c r="L586" s="289"/>
      <c r="M586" s="288"/>
      <c r="N586" s="300"/>
      <c r="O586" s="290"/>
      <c r="P586" s="291"/>
      <c r="Q586" s="288"/>
      <c r="R586" s="300"/>
      <c r="S586" s="292"/>
      <c r="T586" s="289"/>
      <c r="U586" s="250"/>
      <c r="V586" s="250"/>
      <c r="W586" s="250"/>
      <c r="X586" s="250"/>
      <c r="Y586" s="293"/>
      <c r="Z586" s="385"/>
      <c r="AA586" s="251"/>
      <c r="AB586" s="251"/>
    </row>
    <row r="587" spans="1:28" s="295" customFormat="1" ht="15.75">
      <c r="A587" s="284">
        <v>494</v>
      </c>
      <c r="B587" s="284">
        <v>0</v>
      </c>
      <c r="C587" s="284" t="s">
        <v>2211</v>
      </c>
      <c r="D587" s="284" t="s">
        <v>3515</v>
      </c>
      <c r="E587" s="285" t="s">
        <v>1993</v>
      </c>
      <c r="F587" s="286" t="s">
        <v>2212</v>
      </c>
      <c r="G587" s="284">
        <v>100</v>
      </c>
      <c r="H587" s="284">
        <v>24</v>
      </c>
      <c r="I587" s="284">
        <v>1</v>
      </c>
      <c r="J587" s="287">
        <f>Y587*H587%*I587/G587*1000</f>
        <v>8160</v>
      </c>
      <c r="K587" s="288">
        <v>4.8</v>
      </c>
      <c r="L587" s="289">
        <f>(Y587*K587%)/G587*1000</f>
        <v>1632.0000000000002</v>
      </c>
      <c r="M587" s="288">
        <v>5</v>
      </c>
      <c r="N587" s="289">
        <f>(Y587*M587%)/G587*1000</f>
        <v>1700</v>
      </c>
      <c r="O587" s="290"/>
      <c r="P587" s="291"/>
      <c r="Q587" s="288">
        <v>1.05</v>
      </c>
      <c r="R587" s="300"/>
      <c r="S587" s="292" t="s">
        <v>1591</v>
      </c>
      <c r="T587" s="289">
        <f>'Nhan cong'!$M$42</f>
        <v>145974.23076923078</v>
      </c>
      <c r="U587" s="250">
        <f>ROUND((J587+L587+N587+R587+T587),0)</f>
        <v>157466</v>
      </c>
      <c r="V587" s="250">
        <v>178320</v>
      </c>
      <c r="W587" s="250">
        <v>157466</v>
      </c>
      <c r="X587" s="250">
        <v>126881</v>
      </c>
      <c r="Y587" s="293">
        <v>3400</v>
      </c>
      <c r="Z587" s="294"/>
      <c r="AA587" s="251"/>
      <c r="AB587" s="251"/>
    </row>
    <row r="588" spans="1:28" s="295" customFormat="1" ht="15.75">
      <c r="A588" s="284">
        <v>495</v>
      </c>
      <c r="B588" s="284" t="s">
        <v>722</v>
      </c>
      <c r="C588" s="284" t="s">
        <v>2213</v>
      </c>
      <c r="D588" s="284" t="s">
        <v>3516</v>
      </c>
      <c r="E588" s="285" t="s">
        <v>3162</v>
      </c>
      <c r="F588" s="286" t="s">
        <v>2214</v>
      </c>
      <c r="G588" s="284">
        <v>100</v>
      </c>
      <c r="H588" s="284">
        <v>24</v>
      </c>
      <c r="I588" s="284">
        <v>1</v>
      </c>
      <c r="J588" s="287">
        <f>Y588*H588%*I588/G588*1000</f>
        <v>12480</v>
      </c>
      <c r="K588" s="288">
        <v>4.8</v>
      </c>
      <c r="L588" s="289">
        <f>(Y588*K588%)/G588*1000</f>
        <v>2496</v>
      </c>
      <c r="M588" s="288">
        <v>5</v>
      </c>
      <c r="N588" s="289">
        <f>(Y588*M588%)/G588*1000</f>
        <v>2600</v>
      </c>
      <c r="O588" s="290"/>
      <c r="P588" s="291"/>
      <c r="Q588" s="288">
        <v>1.05</v>
      </c>
      <c r="R588" s="300"/>
      <c r="S588" s="292" t="s">
        <v>1591</v>
      </c>
      <c r="T588" s="289">
        <f>'Nhan cong'!$M$42</f>
        <v>145974.23076923078</v>
      </c>
      <c r="U588" s="250">
        <f>ROUND((J588+L588+N588+R588+T588),0)</f>
        <v>163550</v>
      </c>
      <c r="V588" s="250">
        <v>184404</v>
      </c>
      <c r="W588" s="250">
        <v>163550</v>
      </c>
      <c r="X588" s="250">
        <v>132965</v>
      </c>
      <c r="Y588" s="293">
        <v>5200</v>
      </c>
      <c r="Z588" s="294"/>
      <c r="AA588" s="251"/>
      <c r="AB588" s="251"/>
    </row>
    <row r="589" spans="1:28" s="295" customFormat="1" ht="34.5" customHeight="1">
      <c r="A589" s="297">
        <v>496</v>
      </c>
      <c r="B589" s="284">
        <v>0</v>
      </c>
      <c r="C589" s="298" t="s">
        <v>2215</v>
      </c>
      <c r="D589" s="284" t="s">
        <v>3517</v>
      </c>
      <c r="E589" s="285" t="s">
        <v>2216</v>
      </c>
      <c r="F589" s="286" t="s">
        <v>2216</v>
      </c>
      <c r="G589" s="284">
        <v>60</v>
      </c>
      <c r="H589" s="284">
        <v>25</v>
      </c>
      <c r="I589" s="284">
        <v>0.95</v>
      </c>
      <c r="J589" s="287">
        <f>Y589*H589%*I589/G589*1000</f>
        <v>423145.8333333333</v>
      </c>
      <c r="K589" s="288">
        <v>10</v>
      </c>
      <c r="L589" s="289">
        <f>(Y589*K589%)/G589*1000</f>
        <v>178166.66666666666</v>
      </c>
      <c r="M589" s="288">
        <v>5</v>
      </c>
      <c r="N589" s="289">
        <f>(Y589*M589%)/G589*1000</f>
        <v>89083.33333333333</v>
      </c>
      <c r="O589" s="290"/>
      <c r="P589" s="291"/>
      <c r="Q589" s="288">
        <v>1.05</v>
      </c>
      <c r="R589" s="300"/>
      <c r="S589" s="292" t="s">
        <v>2217</v>
      </c>
      <c r="T589" s="296">
        <f>'Nhan cong'!M76+'Nhan cong'!M72</f>
        <v>420686.5384615385</v>
      </c>
      <c r="U589" s="250">
        <f>ROUND((J589+L589+N589+R589+T589),0)</f>
        <v>1111082</v>
      </c>
      <c r="V589" s="250">
        <v>1171180</v>
      </c>
      <c r="W589" s="250">
        <v>1111082</v>
      </c>
      <c r="X589" s="250">
        <v>1022938</v>
      </c>
      <c r="Y589" s="293">
        <v>106900</v>
      </c>
      <c r="Z589" s="294"/>
      <c r="AA589" s="251"/>
      <c r="AB589" s="251"/>
    </row>
    <row r="590" spans="1:28" s="295" customFormat="1" ht="15.75">
      <c r="A590" s="297"/>
      <c r="B590" s="284"/>
      <c r="C590" s="298"/>
      <c r="D590" s="284"/>
      <c r="E590" s="272"/>
      <c r="F590" s="151" t="s">
        <v>2218</v>
      </c>
      <c r="G590" s="284"/>
      <c r="H590" s="284"/>
      <c r="I590" s="284"/>
      <c r="J590" s="299"/>
      <c r="K590" s="288"/>
      <c r="L590" s="289"/>
      <c r="M590" s="288"/>
      <c r="N590" s="300"/>
      <c r="O590" s="290"/>
      <c r="P590" s="291"/>
      <c r="Q590" s="288"/>
      <c r="R590" s="300"/>
      <c r="S590" s="292"/>
      <c r="T590" s="296"/>
      <c r="U590" s="250"/>
      <c r="V590" s="250"/>
      <c r="W590" s="250"/>
      <c r="X590" s="250"/>
      <c r="Y590" s="293"/>
      <c r="Z590" s="385"/>
      <c r="AA590" s="251"/>
      <c r="AB590" s="251"/>
    </row>
    <row r="591" spans="1:28" s="295" customFormat="1" ht="15.75">
      <c r="A591" s="284">
        <v>497</v>
      </c>
      <c r="B591" s="284" t="s">
        <v>637</v>
      </c>
      <c r="C591" s="284" t="s">
        <v>2219</v>
      </c>
      <c r="D591" s="284" t="s">
        <v>3518</v>
      </c>
      <c r="E591" s="285" t="s">
        <v>1994</v>
      </c>
      <c r="F591" s="286" t="s">
        <v>2220</v>
      </c>
      <c r="G591" s="284">
        <v>120</v>
      </c>
      <c r="H591" s="284">
        <v>30</v>
      </c>
      <c r="I591" s="284">
        <v>1</v>
      </c>
      <c r="J591" s="287">
        <f>Y591*H591%*I591/G591*1000</f>
        <v>17500</v>
      </c>
      <c r="K591" s="288">
        <v>5.4</v>
      </c>
      <c r="L591" s="289">
        <f>(Y591*K591%)/G591*1000</f>
        <v>3150.0000000000005</v>
      </c>
      <c r="M591" s="288">
        <v>4</v>
      </c>
      <c r="N591" s="289">
        <f>(Y591*M591%)/G591*1000</f>
        <v>2333.3333333333335</v>
      </c>
      <c r="O591" s="290"/>
      <c r="P591" s="291"/>
      <c r="Q591" s="288">
        <v>1.07</v>
      </c>
      <c r="R591" s="300"/>
      <c r="S591" s="292" t="s">
        <v>295</v>
      </c>
      <c r="T591" s="296">
        <f>'Nhan cong'!M$38</f>
        <v>125620.38461538461</v>
      </c>
      <c r="U591" s="250">
        <f>ROUND((J591+L591+N591+R591+T591),0)-1</f>
        <v>148603</v>
      </c>
      <c r="V591" s="250">
        <v>166549</v>
      </c>
      <c r="W591" s="250">
        <v>148603</v>
      </c>
      <c r="X591" s="250">
        <v>122283</v>
      </c>
      <c r="Y591" s="293">
        <v>7000</v>
      </c>
      <c r="Z591" s="294"/>
      <c r="AA591" s="251"/>
      <c r="AB591" s="251"/>
    </row>
    <row r="592" spans="1:28" s="295" customFormat="1" ht="31.5">
      <c r="A592" s="284">
        <v>498</v>
      </c>
      <c r="B592" s="284">
        <v>0</v>
      </c>
      <c r="C592" s="284" t="s">
        <v>2221</v>
      </c>
      <c r="D592" s="284" t="s">
        <v>3519</v>
      </c>
      <c r="E592" s="285" t="s">
        <v>2222</v>
      </c>
      <c r="F592" s="286" t="s">
        <v>2222</v>
      </c>
      <c r="G592" s="284">
        <v>180</v>
      </c>
      <c r="H592" s="284">
        <v>30</v>
      </c>
      <c r="I592" s="284">
        <v>0.95</v>
      </c>
      <c r="J592" s="287">
        <f>Y592*H592%*I592/G592*1000</f>
        <v>22800</v>
      </c>
      <c r="K592" s="288">
        <v>4.2</v>
      </c>
      <c r="L592" s="289">
        <f>(Y592*K592%)/G592*1000</f>
        <v>3360.0000000000005</v>
      </c>
      <c r="M592" s="288">
        <v>4</v>
      </c>
      <c r="N592" s="289">
        <f>(Y592*M592%)/G592*1000</f>
        <v>3200</v>
      </c>
      <c r="O592" s="290"/>
      <c r="P592" s="291"/>
      <c r="Q592" s="288"/>
      <c r="R592" s="300"/>
      <c r="S592" s="292" t="s">
        <v>295</v>
      </c>
      <c r="T592" s="296">
        <f>'Nhan cong'!M$38</f>
        <v>125620.38461538461</v>
      </c>
      <c r="U592" s="250">
        <f>ROUND((J592+L592+N592+R592+T592),0)</f>
        <v>154980</v>
      </c>
      <c r="V592" s="250">
        <v>172926</v>
      </c>
      <c r="W592" s="250">
        <v>154980</v>
      </c>
      <c r="X592" s="250">
        <v>128660</v>
      </c>
      <c r="Y592" s="293">
        <v>14400</v>
      </c>
      <c r="Z592" s="294"/>
      <c r="AA592" s="251"/>
      <c r="AB592" s="251"/>
    </row>
    <row r="593" spans="1:28" s="295" customFormat="1" ht="15.75">
      <c r="A593" s="297"/>
      <c r="B593" s="284"/>
      <c r="C593" s="298"/>
      <c r="D593" s="284"/>
      <c r="E593" s="272"/>
      <c r="F593" s="151" t="s">
        <v>2223</v>
      </c>
      <c r="G593" s="284"/>
      <c r="H593" s="284"/>
      <c r="I593" s="284"/>
      <c r="J593" s="299"/>
      <c r="K593" s="288"/>
      <c r="L593" s="289"/>
      <c r="M593" s="288"/>
      <c r="N593" s="300"/>
      <c r="O593" s="290"/>
      <c r="P593" s="291"/>
      <c r="Q593" s="288"/>
      <c r="R593" s="300"/>
      <c r="S593" s="292"/>
      <c r="T593" s="296"/>
      <c r="U593" s="250"/>
      <c r="V593" s="250"/>
      <c r="W593" s="250"/>
      <c r="X593" s="250"/>
      <c r="Y593" s="293"/>
      <c r="Z593" s="385"/>
      <c r="AA593" s="251"/>
      <c r="AB593" s="251"/>
    </row>
    <row r="594" spans="1:28" s="295" customFormat="1" ht="15.75">
      <c r="A594" s="284">
        <v>499</v>
      </c>
      <c r="B594" s="284" t="s">
        <v>618</v>
      </c>
      <c r="C594" s="284" t="s">
        <v>2224</v>
      </c>
      <c r="D594" s="284" t="s">
        <v>3520</v>
      </c>
      <c r="E594" s="285" t="s">
        <v>1995</v>
      </c>
      <c r="F594" s="286" t="s">
        <v>2225</v>
      </c>
      <c r="G594" s="284">
        <v>200</v>
      </c>
      <c r="H594" s="284">
        <v>14</v>
      </c>
      <c r="I594" s="284">
        <v>0.95</v>
      </c>
      <c r="J594" s="287">
        <f>Y594*H594%*I594/G594*1000</f>
        <v>28528.500000000004</v>
      </c>
      <c r="K594" s="301">
        <v>4.1</v>
      </c>
      <c r="L594" s="289">
        <f>(Y594*K594%)/G594*1000</f>
        <v>8794.5</v>
      </c>
      <c r="M594" s="301">
        <v>4</v>
      </c>
      <c r="N594" s="289">
        <f>(Y594*M594%)/G594*1000</f>
        <v>8580</v>
      </c>
      <c r="O594" s="302">
        <v>5.3</v>
      </c>
      <c r="P594" s="272" t="s">
        <v>433</v>
      </c>
      <c r="Q594" s="288">
        <v>1.07</v>
      </c>
      <c r="R594" s="289">
        <f>O594*dien*Q594</f>
        <v>6459.269</v>
      </c>
      <c r="S594" s="284" t="s">
        <v>295</v>
      </c>
      <c r="T594" s="296">
        <f>Nii3</f>
        <v>125620.38461538461</v>
      </c>
      <c r="U594" s="250">
        <f>ROUND((J594+L594+N594+R594+T594),0)-1</f>
        <v>177982</v>
      </c>
      <c r="V594" s="250">
        <v>195928</v>
      </c>
      <c r="W594" s="250">
        <v>177982</v>
      </c>
      <c r="X594" s="250">
        <v>151662</v>
      </c>
      <c r="Y594" s="293">
        <v>42900</v>
      </c>
      <c r="Z594" s="294"/>
      <c r="AA594" s="251"/>
      <c r="AB594" s="251"/>
    </row>
    <row r="595" spans="1:28" s="295" customFormat="1" ht="15.75">
      <c r="A595" s="284">
        <v>500</v>
      </c>
      <c r="B595" s="284" t="s">
        <v>619</v>
      </c>
      <c r="C595" s="284" t="s">
        <v>2226</v>
      </c>
      <c r="D595" s="284" t="s">
        <v>3521</v>
      </c>
      <c r="E595" s="285" t="s">
        <v>1996</v>
      </c>
      <c r="F595" s="286" t="s">
        <v>2227</v>
      </c>
      <c r="G595" s="284">
        <v>200</v>
      </c>
      <c r="H595" s="284">
        <v>14</v>
      </c>
      <c r="I595" s="284">
        <v>0.95</v>
      </c>
      <c r="J595" s="287">
        <f>Y595*H595%*I595/G595*1000</f>
        <v>38038.00000000001</v>
      </c>
      <c r="K595" s="288">
        <v>4.08</v>
      </c>
      <c r="L595" s="289">
        <f>(Y595*K595%)/G595*1000</f>
        <v>11668.800000000001</v>
      </c>
      <c r="M595" s="288">
        <v>4</v>
      </c>
      <c r="N595" s="289">
        <f>(Y595*M595%)/G595*1000</f>
        <v>11440</v>
      </c>
      <c r="O595" s="290">
        <v>9.45</v>
      </c>
      <c r="P595" s="291" t="s">
        <v>433</v>
      </c>
      <c r="Q595" s="288">
        <v>1.07</v>
      </c>
      <c r="R595" s="289">
        <f>O595*dien*Q595</f>
        <v>11516.9985</v>
      </c>
      <c r="S595" s="292" t="s">
        <v>295</v>
      </c>
      <c r="T595" s="296">
        <f>'Nhan cong'!M$38</f>
        <v>125620.38461538461</v>
      </c>
      <c r="U595" s="250">
        <f>ROUND((J595+L595+N595+R595+T595),0)</f>
        <v>198284</v>
      </c>
      <c r="V595" s="250">
        <v>216230</v>
      </c>
      <c r="W595" s="250">
        <v>198284</v>
      </c>
      <c r="X595" s="250">
        <v>171964</v>
      </c>
      <c r="Y595" s="293">
        <v>57200</v>
      </c>
      <c r="Z595" s="294"/>
      <c r="AA595" s="251"/>
      <c r="AB595" s="251"/>
    </row>
    <row r="596" spans="1:28" s="295" customFormat="1" ht="15.75">
      <c r="A596" s="297"/>
      <c r="B596" s="284"/>
      <c r="C596" s="298"/>
      <c r="D596" s="284"/>
      <c r="E596" s="272"/>
      <c r="F596" s="151" t="s">
        <v>2228</v>
      </c>
      <c r="G596" s="284"/>
      <c r="H596" s="284"/>
      <c r="I596" s="284"/>
      <c r="J596" s="299"/>
      <c r="K596" s="288"/>
      <c r="L596" s="289"/>
      <c r="M596" s="288"/>
      <c r="N596" s="300"/>
      <c r="O596" s="290"/>
      <c r="P596" s="291"/>
      <c r="Q596" s="288"/>
      <c r="R596" s="300"/>
      <c r="S596" s="292"/>
      <c r="T596" s="296"/>
      <c r="U596" s="250"/>
      <c r="V596" s="250"/>
      <c r="W596" s="250"/>
      <c r="X596" s="250"/>
      <c r="Y596" s="293"/>
      <c r="Z596" s="385"/>
      <c r="AA596" s="251"/>
      <c r="AB596" s="251"/>
    </row>
    <row r="597" spans="1:28" s="295" customFormat="1" ht="15.75">
      <c r="A597" s="284">
        <v>501</v>
      </c>
      <c r="B597" s="284" t="s">
        <v>614</v>
      </c>
      <c r="C597" s="284" t="s">
        <v>2229</v>
      </c>
      <c r="D597" s="284" t="s">
        <v>3522</v>
      </c>
      <c r="E597" s="285" t="s">
        <v>1997</v>
      </c>
      <c r="F597" s="286" t="s">
        <v>2230</v>
      </c>
      <c r="G597" s="284">
        <v>120</v>
      </c>
      <c r="H597" s="284">
        <v>30</v>
      </c>
      <c r="I597" s="284">
        <v>1</v>
      </c>
      <c r="J597" s="287">
        <f>Y597*H597%*I597/G597*1000</f>
        <v>10375</v>
      </c>
      <c r="K597" s="288">
        <v>8.4</v>
      </c>
      <c r="L597" s="289">
        <f>(Y597*K597%)/G597*1000</f>
        <v>2905.0000000000005</v>
      </c>
      <c r="M597" s="288">
        <v>4</v>
      </c>
      <c r="N597" s="289">
        <f>(Y597*M597%)/G597*1000</f>
        <v>1383.3333333333333</v>
      </c>
      <c r="O597" s="290">
        <v>1.05</v>
      </c>
      <c r="P597" s="291" t="s">
        <v>433</v>
      </c>
      <c r="Q597" s="288">
        <v>1.07</v>
      </c>
      <c r="R597" s="289">
        <f>O597*dien*Q597</f>
        <v>1279.6665</v>
      </c>
      <c r="S597" s="292" t="s">
        <v>295</v>
      </c>
      <c r="T597" s="296">
        <f>'Nhan cong'!M$38</f>
        <v>125620.38461538461</v>
      </c>
      <c r="U597" s="250">
        <f>ROUND((J597+L597+N597+R597+T597),0)</f>
        <v>141563</v>
      </c>
      <c r="V597" s="250">
        <v>159509</v>
      </c>
      <c r="W597" s="250">
        <v>141563</v>
      </c>
      <c r="X597" s="250">
        <v>115243</v>
      </c>
      <c r="Y597" s="293">
        <v>4150</v>
      </c>
      <c r="Z597" s="294"/>
      <c r="AA597" s="251"/>
      <c r="AB597" s="251"/>
    </row>
    <row r="598" spans="1:28" s="295" customFormat="1" ht="15.75">
      <c r="A598" s="297"/>
      <c r="B598" s="284"/>
      <c r="C598" s="298"/>
      <c r="D598" s="284"/>
      <c r="E598" s="272"/>
      <c r="F598" s="151" t="s">
        <v>2231</v>
      </c>
      <c r="G598" s="284"/>
      <c r="H598" s="284"/>
      <c r="I598" s="284"/>
      <c r="J598" s="299"/>
      <c r="K598" s="288"/>
      <c r="L598" s="289"/>
      <c r="M598" s="288"/>
      <c r="N598" s="300"/>
      <c r="O598" s="290"/>
      <c r="P598" s="291"/>
      <c r="Q598" s="288"/>
      <c r="R598" s="300"/>
      <c r="S598" s="292"/>
      <c r="T598" s="296"/>
      <c r="U598" s="250"/>
      <c r="V598" s="250"/>
      <c r="W598" s="250"/>
      <c r="X598" s="250"/>
      <c r="Y598" s="293"/>
      <c r="Z598" s="385"/>
      <c r="AA598" s="251"/>
      <c r="AB598" s="251"/>
    </row>
    <row r="599" spans="1:28" s="295" customFormat="1" ht="15.75">
      <c r="A599" s="284">
        <v>502</v>
      </c>
      <c r="B599" s="284" t="s">
        <v>3840</v>
      </c>
      <c r="C599" s="284" t="s">
        <v>2232</v>
      </c>
      <c r="D599" s="284" t="s">
        <v>3523</v>
      </c>
      <c r="E599" s="285" t="s">
        <v>1998</v>
      </c>
      <c r="F599" s="286" t="s">
        <v>2233</v>
      </c>
      <c r="G599" s="284">
        <v>80</v>
      </c>
      <c r="H599" s="284">
        <v>30</v>
      </c>
      <c r="I599" s="284">
        <v>1</v>
      </c>
      <c r="J599" s="287">
        <f>Y599*H599%*I599/G599*1000</f>
        <v>19125</v>
      </c>
      <c r="K599" s="288">
        <v>7.5</v>
      </c>
      <c r="L599" s="289">
        <f>(Y599*K599%)/G599*1000</f>
        <v>4781.25</v>
      </c>
      <c r="M599" s="288">
        <v>4</v>
      </c>
      <c r="N599" s="289">
        <f>(Y599*M599%)/G599*1000</f>
        <v>2550</v>
      </c>
      <c r="O599" s="290">
        <v>2.1</v>
      </c>
      <c r="P599" s="291" t="s">
        <v>433</v>
      </c>
      <c r="Q599" s="288">
        <v>1.07</v>
      </c>
      <c r="R599" s="289">
        <f>O599*dien*Q599</f>
        <v>2559.333</v>
      </c>
      <c r="S599" s="292" t="s">
        <v>295</v>
      </c>
      <c r="T599" s="296">
        <f>'Nhan cong'!M$38</f>
        <v>125620.38461538461</v>
      </c>
      <c r="U599" s="250">
        <f>ROUND((J599+L599+N599+R599+T599),0)</f>
        <v>154636</v>
      </c>
      <c r="V599" s="250">
        <v>172582</v>
      </c>
      <c r="W599" s="250">
        <v>154636</v>
      </c>
      <c r="X599" s="250">
        <v>128316</v>
      </c>
      <c r="Y599" s="293">
        <v>5100</v>
      </c>
      <c r="Z599" s="294"/>
      <c r="AA599" s="251"/>
      <c r="AB599" s="251"/>
    </row>
    <row r="600" spans="1:28" s="295" customFormat="1" ht="15.75">
      <c r="A600" s="284">
        <v>503</v>
      </c>
      <c r="B600" s="284" t="s">
        <v>3841</v>
      </c>
      <c r="C600" s="284" t="s">
        <v>2234</v>
      </c>
      <c r="D600" s="284" t="s">
        <v>3524</v>
      </c>
      <c r="E600" s="285" t="s">
        <v>1999</v>
      </c>
      <c r="F600" s="286" t="s">
        <v>2235</v>
      </c>
      <c r="G600" s="284">
        <v>120</v>
      </c>
      <c r="H600" s="284">
        <v>30</v>
      </c>
      <c r="I600" s="284">
        <v>1</v>
      </c>
      <c r="J600" s="287">
        <f>Y600*H600%*I600/G600*1000</f>
        <v>19375</v>
      </c>
      <c r="K600" s="301">
        <v>7.5</v>
      </c>
      <c r="L600" s="289">
        <f>(Y600*K600%)/G600*1000</f>
        <v>4843.75</v>
      </c>
      <c r="M600" s="301">
        <v>4</v>
      </c>
      <c r="N600" s="289">
        <f>(Y600*M600%)/G600*1000</f>
        <v>2583.3333333333335</v>
      </c>
      <c r="O600" s="302">
        <v>3.2</v>
      </c>
      <c r="P600" s="272" t="s">
        <v>433</v>
      </c>
      <c r="Q600" s="288">
        <v>1.07</v>
      </c>
      <c r="R600" s="289">
        <f>O600*dien*Q600</f>
        <v>3899.9360000000006</v>
      </c>
      <c r="S600" s="284" t="s">
        <v>295</v>
      </c>
      <c r="T600" s="296">
        <f>Nii3</f>
        <v>125620.38461538461</v>
      </c>
      <c r="U600" s="250">
        <f>ROUND((J600+L600+N600+R600+T600),0)</f>
        <v>156322</v>
      </c>
      <c r="V600" s="250">
        <v>174268</v>
      </c>
      <c r="W600" s="250">
        <v>156322</v>
      </c>
      <c r="X600" s="250">
        <v>130002</v>
      </c>
      <c r="Y600" s="293">
        <v>7750</v>
      </c>
      <c r="Z600" s="294"/>
      <c r="AA600" s="251"/>
      <c r="AB600" s="251"/>
    </row>
    <row r="601" spans="1:28" s="295" customFormat="1" ht="15.75">
      <c r="A601" s="297"/>
      <c r="B601" s="284"/>
      <c r="C601" s="298"/>
      <c r="D601" s="284"/>
      <c r="E601" s="272"/>
      <c r="F601" s="151" t="s">
        <v>2236</v>
      </c>
      <c r="G601" s="284"/>
      <c r="H601" s="284"/>
      <c r="I601" s="284"/>
      <c r="J601" s="299"/>
      <c r="K601" s="288"/>
      <c r="L601" s="289"/>
      <c r="M601" s="288"/>
      <c r="N601" s="300"/>
      <c r="O601" s="290"/>
      <c r="P601" s="291"/>
      <c r="Q601" s="288"/>
      <c r="R601" s="300"/>
      <c r="S601" s="292"/>
      <c r="T601" s="296"/>
      <c r="U601" s="250"/>
      <c r="V601" s="250"/>
      <c r="W601" s="250"/>
      <c r="X601" s="250"/>
      <c r="Y601" s="293"/>
      <c r="Z601" s="385"/>
      <c r="AA601" s="251"/>
      <c r="AB601" s="251"/>
    </row>
    <row r="602" spans="1:28" s="295" customFormat="1" ht="15.75">
      <c r="A602" s="284">
        <v>504</v>
      </c>
      <c r="B602" s="284">
        <v>0</v>
      </c>
      <c r="C602" s="284" t="s">
        <v>2237</v>
      </c>
      <c r="D602" s="284" t="s">
        <v>3525</v>
      </c>
      <c r="E602" s="285" t="s">
        <v>2000</v>
      </c>
      <c r="F602" s="286" t="s">
        <v>2238</v>
      </c>
      <c r="G602" s="284">
        <v>120</v>
      </c>
      <c r="H602" s="284">
        <v>30</v>
      </c>
      <c r="I602" s="284">
        <v>1</v>
      </c>
      <c r="J602" s="287">
        <f>Y602*H602%*I602/G602*1000</f>
        <v>12000</v>
      </c>
      <c r="K602" s="288">
        <v>7.5</v>
      </c>
      <c r="L602" s="289">
        <f>(Y602*K602%)/G602*1000</f>
        <v>3000</v>
      </c>
      <c r="M602" s="288">
        <v>4</v>
      </c>
      <c r="N602" s="289">
        <f>(Y602*M602%)/G602*1000</f>
        <v>1600</v>
      </c>
      <c r="O602" s="290">
        <v>0.93</v>
      </c>
      <c r="P602" s="291" t="s">
        <v>433</v>
      </c>
      <c r="Q602" s="288">
        <v>1.07</v>
      </c>
      <c r="R602" s="289">
        <f>O602*dien*Q602</f>
        <v>1133.4189000000001</v>
      </c>
      <c r="S602" s="292" t="s">
        <v>295</v>
      </c>
      <c r="T602" s="296">
        <f>'Nhan cong'!M$38</f>
        <v>125620.38461538461</v>
      </c>
      <c r="U602" s="250">
        <f>ROUND((J602+L602+N602+R602+T602),0)-1</f>
        <v>143353</v>
      </c>
      <c r="V602" s="250">
        <v>161299</v>
      </c>
      <c r="W602" s="250">
        <v>143353</v>
      </c>
      <c r="X602" s="250">
        <v>117033</v>
      </c>
      <c r="Y602" s="293">
        <v>4800</v>
      </c>
      <c r="Z602" s="294"/>
      <c r="AA602" s="251"/>
      <c r="AB602" s="251"/>
    </row>
    <row r="603" spans="1:28" s="295" customFormat="1" ht="15.75">
      <c r="A603" s="284">
        <v>505</v>
      </c>
      <c r="B603" s="284">
        <v>0</v>
      </c>
      <c r="C603" s="284" t="s">
        <v>2239</v>
      </c>
      <c r="D603" s="284" t="s">
        <v>3526</v>
      </c>
      <c r="E603" s="285" t="s">
        <v>113</v>
      </c>
      <c r="F603" s="286" t="s">
        <v>2240</v>
      </c>
      <c r="G603" s="284">
        <v>120</v>
      </c>
      <c r="H603" s="284">
        <v>20</v>
      </c>
      <c r="I603" s="284">
        <v>1</v>
      </c>
      <c r="J603" s="287">
        <f>Y603*H603%*I603/G603*1000</f>
        <v>10416.666666666666</v>
      </c>
      <c r="K603" s="288">
        <v>7.5</v>
      </c>
      <c r="L603" s="289">
        <f>(Y603*K603%)/G603*1000</f>
        <v>3906.25</v>
      </c>
      <c r="M603" s="288">
        <v>4</v>
      </c>
      <c r="N603" s="289">
        <f>(Y603*M603%)/G603*1000</f>
        <v>2083.3333333333335</v>
      </c>
      <c r="O603" s="290">
        <v>1.125</v>
      </c>
      <c r="P603" s="291" t="s">
        <v>433</v>
      </c>
      <c r="Q603" s="288">
        <v>1.07</v>
      </c>
      <c r="R603" s="289">
        <f>O603*dien*Q603</f>
        <v>1371.0712500000002</v>
      </c>
      <c r="S603" s="292" t="s">
        <v>295</v>
      </c>
      <c r="T603" s="296">
        <f>'Nhan cong'!M$38</f>
        <v>125620.38461538461</v>
      </c>
      <c r="U603" s="250">
        <f>ROUND((J603+L603+N603+R603+T603),0)+5</f>
        <v>143403</v>
      </c>
      <c r="V603" s="250">
        <v>161343</v>
      </c>
      <c r="W603" s="250">
        <v>143403</v>
      </c>
      <c r="X603" s="250">
        <v>117083</v>
      </c>
      <c r="Y603" s="293">
        <v>6250</v>
      </c>
      <c r="Z603" s="294"/>
      <c r="AA603" s="251"/>
      <c r="AB603" s="251"/>
    </row>
    <row r="604" spans="1:28" s="295" customFormat="1" ht="15.75">
      <c r="A604" s="284">
        <v>506</v>
      </c>
      <c r="B604" s="284">
        <v>0</v>
      </c>
      <c r="C604" s="284" t="s">
        <v>2241</v>
      </c>
      <c r="D604" s="284" t="s">
        <v>3527</v>
      </c>
      <c r="E604" s="285" t="s">
        <v>114</v>
      </c>
      <c r="F604" s="286" t="s">
        <v>2242</v>
      </c>
      <c r="G604" s="284">
        <v>120</v>
      </c>
      <c r="H604" s="284">
        <v>20</v>
      </c>
      <c r="I604" s="284">
        <v>1</v>
      </c>
      <c r="J604" s="287">
        <f>Y604*H604%*I604/G604*1000</f>
        <v>11250</v>
      </c>
      <c r="K604" s="288">
        <v>7.5</v>
      </c>
      <c r="L604" s="289">
        <f>(Y604*K604%)/G604*1000</f>
        <v>4218.75</v>
      </c>
      <c r="M604" s="288">
        <v>4</v>
      </c>
      <c r="N604" s="289">
        <f>(Y604*M604%)/G604*1000</f>
        <v>2250</v>
      </c>
      <c r="O604" s="290">
        <v>1.275</v>
      </c>
      <c r="P604" s="291" t="s">
        <v>433</v>
      </c>
      <c r="Q604" s="288">
        <v>1.07</v>
      </c>
      <c r="R604" s="289">
        <f>O604*dien*Q604</f>
        <v>1553.88075</v>
      </c>
      <c r="S604" s="292" t="s">
        <v>295</v>
      </c>
      <c r="T604" s="296">
        <f>'Nhan cong'!M$38</f>
        <v>125620.38461538461</v>
      </c>
      <c r="U604" s="250">
        <f>ROUND((J604+L604+N604+R604+T604),0)+6</f>
        <v>144899</v>
      </c>
      <c r="V604" s="250">
        <v>162839</v>
      </c>
      <c r="W604" s="250">
        <v>144899</v>
      </c>
      <c r="X604" s="250">
        <v>118579</v>
      </c>
      <c r="Y604" s="293">
        <v>6750</v>
      </c>
      <c r="Z604" s="294"/>
      <c r="AA604" s="251"/>
      <c r="AB604" s="251"/>
    </row>
    <row r="605" spans="1:28" s="295" customFormat="1" ht="15.75">
      <c r="A605" s="284">
        <v>507</v>
      </c>
      <c r="B605" s="284" t="s">
        <v>609</v>
      </c>
      <c r="C605" s="284" t="s">
        <v>2243</v>
      </c>
      <c r="D605" s="284" t="s">
        <v>3528</v>
      </c>
      <c r="E605" s="285" t="s">
        <v>115</v>
      </c>
      <c r="F605" s="286" t="s">
        <v>2244</v>
      </c>
      <c r="G605" s="284">
        <v>120</v>
      </c>
      <c r="H605" s="284">
        <v>20</v>
      </c>
      <c r="I605" s="284">
        <v>1</v>
      </c>
      <c r="J605" s="287">
        <f>Y605*H605%*I605/G605*1000</f>
        <v>14000</v>
      </c>
      <c r="K605" s="288">
        <v>7.5</v>
      </c>
      <c r="L605" s="289">
        <f>(Y605*K605%)/G605*1000</f>
        <v>5250</v>
      </c>
      <c r="M605" s="288">
        <v>4</v>
      </c>
      <c r="N605" s="289">
        <f>(Y605*M605%)/G605*1000</f>
        <v>2800</v>
      </c>
      <c r="O605" s="290">
        <v>1.575</v>
      </c>
      <c r="P605" s="291" t="s">
        <v>433</v>
      </c>
      <c r="Q605" s="288">
        <v>1.07</v>
      </c>
      <c r="R605" s="289">
        <f>O605*dien*Q605</f>
        <v>1919.4997500000002</v>
      </c>
      <c r="S605" s="292" t="s">
        <v>295</v>
      </c>
      <c r="T605" s="296">
        <f>'Nhan cong'!M$38</f>
        <v>125620.38461538461</v>
      </c>
      <c r="U605" s="250">
        <f>ROUND((J605+L605+N605+R605+T605),0)+6</f>
        <v>149596</v>
      </c>
      <c r="V605" s="250">
        <v>167535</v>
      </c>
      <c r="W605" s="250">
        <v>149596</v>
      </c>
      <c r="X605" s="250">
        <v>123276</v>
      </c>
      <c r="Y605" s="293">
        <v>8400</v>
      </c>
      <c r="Z605" s="294"/>
      <c r="AA605" s="251"/>
      <c r="AB605" s="251"/>
    </row>
    <row r="606" spans="1:28" s="295" customFormat="1" ht="15.75">
      <c r="A606" s="284">
        <v>508</v>
      </c>
      <c r="B606" s="284">
        <v>0</v>
      </c>
      <c r="C606" s="284" t="s">
        <v>2245</v>
      </c>
      <c r="D606" s="284" t="s">
        <v>3529</v>
      </c>
      <c r="E606" s="285" t="s">
        <v>2001</v>
      </c>
      <c r="F606" s="286" t="s">
        <v>2246</v>
      </c>
      <c r="G606" s="284">
        <v>100</v>
      </c>
      <c r="H606" s="284">
        <v>20</v>
      </c>
      <c r="I606" s="284">
        <v>1</v>
      </c>
      <c r="J606" s="287">
        <f>Y606*H606%*I606/G606*1000</f>
        <v>20800</v>
      </c>
      <c r="K606" s="288">
        <v>7.5</v>
      </c>
      <c r="L606" s="289">
        <f>(Y606*K606%)/G606*1000</f>
        <v>7800</v>
      </c>
      <c r="M606" s="288">
        <v>4</v>
      </c>
      <c r="N606" s="289">
        <f>(Y606*M606%)/G606*1000</f>
        <v>4160</v>
      </c>
      <c r="O606" s="290">
        <v>2.25</v>
      </c>
      <c r="P606" s="291" t="s">
        <v>433</v>
      </c>
      <c r="Q606" s="288">
        <v>1.07</v>
      </c>
      <c r="R606" s="289">
        <f>O606*dien*Q606</f>
        <v>2742.1425000000004</v>
      </c>
      <c r="S606" s="292" t="s">
        <v>295</v>
      </c>
      <c r="T606" s="296">
        <f>'Nhan cong'!M$38</f>
        <v>125620.38461538461</v>
      </c>
      <c r="U606" s="250">
        <f>ROUND((J606+L606+N606+R606+T606),0)</f>
        <v>161123</v>
      </c>
      <c r="V606" s="250">
        <v>178028</v>
      </c>
      <c r="W606" s="250">
        <v>160082</v>
      </c>
      <c r="X606" s="250">
        <v>133762</v>
      </c>
      <c r="Y606" s="293">
        <v>10400</v>
      </c>
      <c r="Z606" s="294"/>
      <c r="AA606" s="251"/>
      <c r="AB606" s="251"/>
    </row>
    <row r="607" spans="1:28" s="295" customFormat="1" ht="15.75">
      <c r="A607" s="297"/>
      <c r="B607" s="284"/>
      <c r="C607" s="298"/>
      <c r="D607" s="284"/>
      <c r="E607" s="272"/>
      <c r="F607" s="151" t="s">
        <v>2247</v>
      </c>
      <c r="G607" s="284"/>
      <c r="H607" s="284"/>
      <c r="I607" s="284"/>
      <c r="J607" s="299"/>
      <c r="K607" s="288"/>
      <c r="L607" s="289"/>
      <c r="M607" s="288"/>
      <c r="N607" s="300"/>
      <c r="O607" s="290"/>
      <c r="P607" s="291"/>
      <c r="Q607" s="288"/>
      <c r="R607" s="300"/>
      <c r="S607" s="292"/>
      <c r="T607" s="296"/>
      <c r="U607" s="250"/>
      <c r="V607" s="250"/>
      <c r="W607" s="250"/>
      <c r="X607" s="250"/>
      <c r="Y607" s="293"/>
      <c r="Z607" s="385"/>
      <c r="AA607" s="251"/>
      <c r="AB607" s="251"/>
    </row>
    <row r="608" spans="1:28" s="295" customFormat="1" ht="15.75">
      <c r="A608" s="284">
        <v>509</v>
      </c>
      <c r="B608" s="284" t="s">
        <v>3837</v>
      </c>
      <c r="C608" s="284" t="s">
        <v>2248</v>
      </c>
      <c r="D608" s="284" t="s">
        <v>3530</v>
      </c>
      <c r="E608" s="285" t="s">
        <v>2002</v>
      </c>
      <c r="F608" s="286" t="s">
        <v>2249</v>
      </c>
      <c r="G608" s="284">
        <v>80</v>
      </c>
      <c r="H608" s="284">
        <v>14</v>
      </c>
      <c r="I608" s="284">
        <v>1</v>
      </c>
      <c r="J608" s="287">
        <f>Y608*H608%*I608/G608*1000</f>
        <v>13825</v>
      </c>
      <c r="K608" s="288">
        <v>7</v>
      </c>
      <c r="L608" s="289">
        <f>(Y608*K608%)/G608*1000</f>
        <v>6912.5</v>
      </c>
      <c r="M608" s="288">
        <v>4</v>
      </c>
      <c r="N608" s="289">
        <f>(Y608*M608%)/G608*1000</f>
        <v>3950</v>
      </c>
      <c r="O608" s="290">
        <v>3.06</v>
      </c>
      <c r="P608" s="291" t="s">
        <v>433</v>
      </c>
      <c r="Q608" s="288">
        <v>1.07</v>
      </c>
      <c r="R608" s="289">
        <f>O608*dien*Q608</f>
        <v>3729.3138000000004</v>
      </c>
      <c r="S608" s="292" t="s">
        <v>295</v>
      </c>
      <c r="T608" s="296">
        <f>'Nhan cong'!M$38</f>
        <v>125620.38461538461</v>
      </c>
      <c r="U608" s="250">
        <f>ROUND((J608+L608+N608+R608+T608),0)</f>
        <v>154037</v>
      </c>
      <c r="V608" s="250">
        <v>171983</v>
      </c>
      <c r="W608" s="250">
        <v>154037</v>
      </c>
      <c r="X608" s="250">
        <v>127717</v>
      </c>
      <c r="Y608" s="293">
        <v>7900</v>
      </c>
      <c r="Z608" s="294"/>
      <c r="AA608" s="251"/>
      <c r="AB608" s="251"/>
    </row>
    <row r="609" spans="1:28" s="295" customFormat="1" ht="15.75">
      <c r="A609" s="297"/>
      <c r="B609" s="284"/>
      <c r="C609" s="298"/>
      <c r="D609" s="284"/>
      <c r="E609" s="272"/>
      <c r="F609" s="151" t="s">
        <v>2250</v>
      </c>
      <c r="G609" s="284"/>
      <c r="H609" s="284"/>
      <c r="I609" s="284"/>
      <c r="J609" s="299"/>
      <c r="K609" s="288"/>
      <c r="L609" s="289"/>
      <c r="M609" s="288"/>
      <c r="N609" s="300"/>
      <c r="O609" s="290"/>
      <c r="P609" s="291"/>
      <c r="Q609" s="288"/>
      <c r="R609" s="300"/>
      <c r="S609" s="292"/>
      <c r="T609" s="296"/>
      <c r="U609" s="250"/>
      <c r="V609" s="250"/>
      <c r="W609" s="250"/>
      <c r="X609" s="250"/>
      <c r="Y609" s="293"/>
      <c r="Z609" s="385"/>
      <c r="AA609" s="251"/>
      <c r="AB609" s="251"/>
    </row>
    <row r="610" spans="1:28" s="295" customFormat="1" ht="15.75">
      <c r="A610" s="284">
        <v>510</v>
      </c>
      <c r="B610" s="284">
        <v>0</v>
      </c>
      <c r="C610" s="284" t="s">
        <v>2251</v>
      </c>
      <c r="D610" s="284" t="s">
        <v>3531</v>
      </c>
      <c r="E610" s="285" t="s">
        <v>2003</v>
      </c>
      <c r="F610" s="286" t="s">
        <v>2246</v>
      </c>
      <c r="G610" s="284">
        <v>100</v>
      </c>
      <c r="H610" s="284">
        <v>20</v>
      </c>
      <c r="I610" s="284">
        <v>1</v>
      </c>
      <c r="J610" s="287">
        <f>Y610*H610%*I610/G610*1000</f>
        <v>17500</v>
      </c>
      <c r="K610" s="288">
        <v>7.5</v>
      </c>
      <c r="L610" s="289">
        <f>(Y610*K610%)/G610*1000</f>
        <v>6562.5</v>
      </c>
      <c r="M610" s="288">
        <v>4</v>
      </c>
      <c r="N610" s="289">
        <f>(Y610*M610%)/G610*1000</f>
        <v>3500</v>
      </c>
      <c r="O610" s="290">
        <v>2.7</v>
      </c>
      <c r="P610" s="291" t="s">
        <v>433</v>
      </c>
      <c r="Q610" s="288">
        <v>1.07</v>
      </c>
      <c r="R610" s="289">
        <f>O610*dien*Q610</f>
        <v>3290.5710000000004</v>
      </c>
      <c r="S610" s="292" t="s">
        <v>295</v>
      </c>
      <c r="T610" s="296">
        <f>'Nhan cong'!M$38</f>
        <v>125620.38461538461</v>
      </c>
      <c r="U610" s="250">
        <f>ROUND((J610+L610+N610+R610+T610),0)</f>
        <v>156473</v>
      </c>
      <c r="V610" s="250">
        <v>174419</v>
      </c>
      <c r="W610" s="250">
        <v>156473</v>
      </c>
      <c r="X610" s="250">
        <v>130153</v>
      </c>
      <c r="Y610" s="293">
        <v>8750</v>
      </c>
      <c r="Z610" s="294"/>
      <c r="AA610" s="251"/>
      <c r="AB610" s="251"/>
    </row>
    <row r="611" spans="1:28" s="295" customFormat="1" ht="15.75">
      <c r="A611" s="284">
        <v>511</v>
      </c>
      <c r="B611" s="284" t="s">
        <v>3834</v>
      </c>
      <c r="C611" s="284" t="s">
        <v>2252</v>
      </c>
      <c r="D611" s="284"/>
      <c r="E611" s="285" t="s">
        <v>116</v>
      </c>
      <c r="F611" s="286" t="s">
        <v>2253</v>
      </c>
      <c r="G611" s="284">
        <v>100</v>
      </c>
      <c r="H611" s="284">
        <v>20</v>
      </c>
      <c r="I611" s="284">
        <v>0.95</v>
      </c>
      <c r="J611" s="287">
        <f>Y611*H611%*I611/G611*1000</f>
        <v>33060</v>
      </c>
      <c r="K611" s="301">
        <v>5.5</v>
      </c>
      <c r="L611" s="289">
        <f>(Y611*K611%)/G611*1000</f>
        <v>9570</v>
      </c>
      <c r="M611" s="301">
        <v>4</v>
      </c>
      <c r="N611" s="289">
        <f>(Y611*M611%)/G611*1000</f>
        <v>6960</v>
      </c>
      <c r="O611" s="302">
        <v>10.8</v>
      </c>
      <c r="P611" s="272" t="s">
        <v>433</v>
      </c>
      <c r="Q611" s="288">
        <v>1.07</v>
      </c>
      <c r="R611" s="289">
        <f>O611*dien*Q611</f>
        <v>13162.284000000001</v>
      </c>
      <c r="S611" s="284" t="s">
        <v>295</v>
      </c>
      <c r="T611" s="296">
        <f>Nii3</f>
        <v>125620.38461538461</v>
      </c>
      <c r="U611" s="250">
        <f>ROUND((J611+L611+N611+R611+T611),0)-1</f>
        <v>188372</v>
      </c>
      <c r="V611" s="250">
        <v>206318</v>
      </c>
      <c r="W611" s="250">
        <v>188372</v>
      </c>
      <c r="X611" s="250">
        <v>162052</v>
      </c>
      <c r="Y611" s="293">
        <v>17400</v>
      </c>
      <c r="Z611" s="294"/>
      <c r="AA611" s="251"/>
      <c r="AB611" s="251"/>
    </row>
    <row r="612" spans="1:28" s="295" customFormat="1" ht="31.5">
      <c r="A612" s="284">
        <v>512</v>
      </c>
      <c r="B612" s="284" t="s">
        <v>3838</v>
      </c>
      <c r="C612" s="284" t="s">
        <v>2254</v>
      </c>
      <c r="D612" s="284" t="s">
        <v>3532</v>
      </c>
      <c r="E612" s="285" t="s">
        <v>2004</v>
      </c>
      <c r="F612" s="286" t="s">
        <v>2255</v>
      </c>
      <c r="G612" s="284">
        <v>100</v>
      </c>
      <c r="H612" s="284">
        <v>20</v>
      </c>
      <c r="I612" s="284">
        <v>0.95</v>
      </c>
      <c r="J612" s="287">
        <f>Y612*H612%*I612/G612*1000</f>
        <v>73150</v>
      </c>
      <c r="K612" s="288">
        <v>4.5</v>
      </c>
      <c r="L612" s="289">
        <f>(Y612*K612%)/G612*1000</f>
        <v>17325</v>
      </c>
      <c r="M612" s="288">
        <v>5</v>
      </c>
      <c r="N612" s="289">
        <f>(Y612*M612%)/G612*1000</f>
        <v>19250</v>
      </c>
      <c r="O612" s="290">
        <v>7.92</v>
      </c>
      <c r="P612" s="291" t="s">
        <v>294</v>
      </c>
      <c r="Q612" s="288">
        <v>1.03</v>
      </c>
      <c r="R612" s="289">
        <f>O612*xang*Q612</f>
        <v>157960.829664</v>
      </c>
      <c r="S612" s="292" t="s">
        <v>1591</v>
      </c>
      <c r="T612" s="289">
        <f>'Nhan cong'!$M$42</f>
        <v>145974.23076923078</v>
      </c>
      <c r="U612" s="250">
        <f>ROUND((J612+L612+N612+R612+T612),0)</f>
        <v>413660</v>
      </c>
      <c r="V612" s="250">
        <v>432589</v>
      </c>
      <c r="W612" s="250">
        <v>411735</v>
      </c>
      <c r="X612" s="250">
        <v>381150</v>
      </c>
      <c r="Y612" s="293">
        <v>38500</v>
      </c>
      <c r="Z612" s="294"/>
      <c r="AA612" s="251"/>
      <c r="AB612" s="251"/>
    </row>
    <row r="613" spans="1:28" s="295" customFormat="1" ht="15.75">
      <c r="A613" s="297"/>
      <c r="B613" s="284"/>
      <c r="C613" s="298"/>
      <c r="D613" s="284"/>
      <c r="E613" s="272"/>
      <c r="F613" s="151" t="s">
        <v>2256</v>
      </c>
      <c r="G613" s="284"/>
      <c r="H613" s="284"/>
      <c r="I613" s="284"/>
      <c r="J613" s="299"/>
      <c r="K613" s="288"/>
      <c r="L613" s="289"/>
      <c r="M613" s="288"/>
      <c r="N613" s="300"/>
      <c r="O613" s="290"/>
      <c r="P613" s="291"/>
      <c r="Q613" s="288"/>
      <c r="R613" s="300"/>
      <c r="S613" s="292"/>
      <c r="T613" s="289"/>
      <c r="U613" s="250"/>
      <c r="V613" s="250"/>
      <c r="W613" s="250"/>
      <c r="X613" s="250"/>
      <c r="Y613" s="293"/>
      <c r="Z613" s="385"/>
      <c r="AA613" s="251"/>
      <c r="AB613" s="251"/>
    </row>
    <row r="614" spans="1:28" s="295" customFormat="1" ht="15.75">
      <c r="A614" s="284">
        <v>513</v>
      </c>
      <c r="B614" s="284">
        <v>0</v>
      </c>
      <c r="C614" s="284" t="s">
        <v>2257</v>
      </c>
      <c r="D614" s="284" t="s">
        <v>1244</v>
      </c>
      <c r="E614" s="285" t="s">
        <v>2005</v>
      </c>
      <c r="F614" s="286" t="s">
        <v>2258</v>
      </c>
      <c r="G614" s="284">
        <v>110</v>
      </c>
      <c r="H614" s="284">
        <v>30</v>
      </c>
      <c r="I614" s="284">
        <v>1</v>
      </c>
      <c r="J614" s="287">
        <f>Y614*H614%*I614/G614*1000</f>
        <v>14727.272727272726</v>
      </c>
      <c r="K614" s="288">
        <v>6.6</v>
      </c>
      <c r="L614" s="289">
        <f>(Y614*K614%)/G614*1000</f>
        <v>3240</v>
      </c>
      <c r="M614" s="288">
        <v>5</v>
      </c>
      <c r="N614" s="289">
        <f>(Y614*M614%)/G614*1000</f>
        <v>2454.5454545454545</v>
      </c>
      <c r="O614" s="290"/>
      <c r="P614" s="291"/>
      <c r="Q614" s="288"/>
      <c r="R614" s="300"/>
      <c r="S614" s="292" t="s">
        <v>1591</v>
      </c>
      <c r="T614" s="289">
        <f>'Nhan cong'!$M$42</f>
        <v>145974.23076923078</v>
      </c>
      <c r="U614" s="250">
        <f>ROUND((J614+L614+N614+R614+T614),0)</f>
        <v>166396</v>
      </c>
      <c r="V614" s="250">
        <v>187250</v>
      </c>
      <c r="W614" s="250">
        <v>166396</v>
      </c>
      <c r="X614" s="250">
        <v>135811</v>
      </c>
      <c r="Y614" s="293">
        <v>5400</v>
      </c>
      <c r="Z614" s="294"/>
      <c r="AA614" s="251"/>
      <c r="AB614" s="251"/>
    </row>
    <row r="615" spans="1:28" s="295" customFormat="1" ht="15.75">
      <c r="A615" s="284">
        <v>514</v>
      </c>
      <c r="B615" s="284" t="s">
        <v>3783</v>
      </c>
      <c r="C615" s="284" t="s">
        <v>2259</v>
      </c>
      <c r="D615" s="284" t="s">
        <v>2893</v>
      </c>
      <c r="E615" s="285" t="s">
        <v>73</v>
      </c>
      <c r="F615" s="286" t="s">
        <v>2260</v>
      </c>
      <c r="G615" s="284">
        <v>110</v>
      </c>
      <c r="H615" s="284">
        <v>30</v>
      </c>
      <c r="I615" s="284">
        <v>1</v>
      </c>
      <c r="J615" s="287">
        <f>Y615*H615%*I615/G615*1000</f>
        <v>16636.363636363636</v>
      </c>
      <c r="K615" s="288">
        <v>6.6</v>
      </c>
      <c r="L615" s="289">
        <f>(Y615*K615%)/G615*1000</f>
        <v>3660</v>
      </c>
      <c r="M615" s="288">
        <v>5</v>
      </c>
      <c r="N615" s="289">
        <f>(Y615*M615%)/G615*1000</f>
        <v>2772.727272727273</v>
      </c>
      <c r="O615" s="290"/>
      <c r="P615" s="291"/>
      <c r="Q615" s="288"/>
      <c r="R615" s="300"/>
      <c r="S615" s="292" t="s">
        <v>1591</v>
      </c>
      <c r="T615" s="289">
        <f>'Nhan cong'!$M$42</f>
        <v>145974.23076923078</v>
      </c>
      <c r="U615" s="250">
        <f>ROUND((J615+L615+N615+R615+T615),0)</f>
        <v>169043</v>
      </c>
      <c r="V615" s="250">
        <v>189897</v>
      </c>
      <c r="W615" s="250">
        <v>169043</v>
      </c>
      <c r="X615" s="250">
        <v>138458</v>
      </c>
      <c r="Y615" s="293">
        <v>6100</v>
      </c>
      <c r="Z615" s="294"/>
      <c r="AA615" s="251"/>
      <c r="AB615" s="251"/>
    </row>
    <row r="616" spans="1:28" s="295" customFormat="1" ht="15.75">
      <c r="A616" s="297"/>
      <c r="B616" s="284"/>
      <c r="C616" s="298"/>
      <c r="D616" s="284"/>
      <c r="E616" s="272"/>
      <c r="F616" s="151" t="s">
        <v>2261</v>
      </c>
      <c r="G616" s="284"/>
      <c r="H616" s="284"/>
      <c r="I616" s="284"/>
      <c r="J616" s="299"/>
      <c r="K616" s="288"/>
      <c r="L616" s="289"/>
      <c r="M616" s="288"/>
      <c r="N616" s="300"/>
      <c r="O616" s="290"/>
      <c r="P616" s="291"/>
      <c r="Q616" s="288"/>
      <c r="R616" s="300"/>
      <c r="S616" s="292"/>
      <c r="T616" s="289"/>
      <c r="U616" s="250"/>
      <c r="V616" s="250"/>
      <c r="W616" s="250"/>
      <c r="X616" s="250"/>
      <c r="Y616" s="293"/>
      <c r="Z616" s="385"/>
      <c r="AA616" s="251"/>
      <c r="AB616" s="251"/>
    </row>
    <row r="617" spans="1:28" s="295" customFormat="1" ht="15.75">
      <c r="A617" s="284">
        <v>515</v>
      </c>
      <c r="B617" s="284">
        <v>0</v>
      </c>
      <c r="C617" s="284" t="s">
        <v>2262</v>
      </c>
      <c r="D617" s="284" t="s">
        <v>3533</v>
      </c>
      <c r="E617" s="285" t="s">
        <v>2006</v>
      </c>
      <c r="F617" s="286" t="s">
        <v>1225</v>
      </c>
      <c r="G617" s="284">
        <v>220</v>
      </c>
      <c r="H617" s="284">
        <v>14</v>
      </c>
      <c r="I617" s="284">
        <v>0.95</v>
      </c>
      <c r="J617" s="287">
        <f>Y617*H617%*I617/G617*1000</f>
        <v>17048.18181818182</v>
      </c>
      <c r="K617" s="288">
        <v>4.5</v>
      </c>
      <c r="L617" s="289">
        <f>(Y617*K617%)/G617*1000</f>
        <v>5768.181818181819</v>
      </c>
      <c r="M617" s="288">
        <v>4</v>
      </c>
      <c r="N617" s="289">
        <f>(Y617*M617%)/G617*1000</f>
        <v>5127.272727272727</v>
      </c>
      <c r="O617" s="290">
        <v>5.04</v>
      </c>
      <c r="P617" s="291" t="s">
        <v>433</v>
      </c>
      <c r="Q617" s="288">
        <v>1.07</v>
      </c>
      <c r="R617" s="289">
        <f>O617*dien*Q617</f>
        <v>6142.399200000001</v>
      </c>
      <c r="S617" s="292" t="s">
        <v>295</v>
      </c>
      <c r="T617" s="296">
        <f>'Nhan cong'!M$38</f>
        <v>125620.38461538461</v>
      </c>
      <c r="U617" s="250">
        <f>ROUND((J617+L617+N617+R617+T617),0)</f>
        <v>159706</v>
      </c>
      <c r="V617" s="250">
        <v>177652</v>
      </c>
      <c r="W617" s="250">
        <v>159706</v>
      </c>
      <c r="X617" s="250">
        <v>133386</v>
      </c>
      <c r="Y617" s="293">
        <v>28200</v>
      </c>
      <c r="Z617" s="294"/>
      <c r="AA617" s="251"/>
      <c r="AB617" s="251"/>
    </row>
    <row r="618" spans="1:28" s="295" customFormat="1" ht="15.75">
      <c r="A618" s="297"/>
      <c r="B618" s="284"/>
      <c r="C618" s="298"/>
      <c r="D618" s="284"/>
      <c r="E618" s="272"/>
      <c r="F618" s="151" t="s">
        <v>2263</v>
      </c>
      <c r="G618" s="284"/>
      <c r="H618" s="284"/>
      <c r="I618" s="284"/>
      <c r="J618" s="299"/>
      <c r="K618" s="288"/>
      <c r="L618" s="289"/>
      <c r="M618" s="288"/>
      <c r="N618" s="300"/>
      <c r="O618" s="290"/>
      <c r="P618" s="291"/>
      <c r="Q618" s="288"/>
      <c r="R618" s="300"/>
      <c r="S618" s="292"/>
      <c r="T618" s="296"/>
      <c r="U618" s="250"/>
      <c r="V618" s="250"/>
      <c r="W618" s="250"/>
      <c r="X618" s="250"/>
      <c r="Y618" s="293"/>
      <c r="Z618" s="385"/>
      <c r="AA618" s="251"/>
      <c r="AB618" s="251"/>
    </row>
    <row r="619" spans="1:28" s="295" customFormat="1" ht="15.75">
      <c r="A619" s="284">
        <v>516</v>
      </c>
      <c r="B619" s="284" t="s">
        <v>3839</v>
      </c>
      <c r="C619" s="284" t="s">
        <v>2264</v>
      </c>
      <c r="D619" s="284" t="s">
        <v>3534</v>
      </c>
      <c r="E619" s="285" t="s">
        <v>2007</v>
      </c>
      <c r="F619" s="286" t="s">
        <v>2265</v>
      </c>
      <c r="G619" s="284">
        <v>220</v>
      </c>
      <c r="H619" s="284">
        <v>14</v>
      </c>
      <c r="I619" s="284">
        <v>0.95</v>
      </c>
      <c r="J619" s="287">
        <f>Y619*H619%*I619/G619*1000</f>
        <v>17048.18181818182</v>
      </c>
      <c r="K619" s="288">
        <v>4.5</v>
      </c>
      <c r="L619" s="289">
        <f>(Y619*K619%)/G619*1000</f>
        <v>5768.181818181819</v>
      </c>
      <c r="M619" s="288">
        <v>4</v>
      </c>
      <c r="N619" s="289">
        <f>(Y619*M619%)/G619*1000</f>
        <v>5127.272727272727</v>
      </c>
      <c r="O619" s="290">
        <v>9</v>
      </c>
      <c r="P619" s="291" t="s">
        <v>433</v>
      </c>
      <c r="Q619" s="288">
        <v>1.07</v>
      </c>
      <c r="R619" s="289">
        <f>O619*dien*Q619</f>
        <v>10968.570000000002</v>
      </c>
      <c r="S619" s="292" t="s">
        <v>295</v>
      </c>
      <c r="T619" s="296">
        <f>'Nhan cong'!M$38</f>
        <v>125620.38461538461</v>
      </c>
      <c r="U619" s="250">
        <f>ROUND((J619+L619+N619+R619+T619),0)-1</f>
        <v>164532</v>
      </c>
      <c r="V619" s="250">
        <v>182478</v>
      </c>
      <c r="W619" s="250">
        <v>164532</v>
      </c>
      <c r="X619" s="250">
        <v>138212</v>
      </c>
      <c r="Y619" s="293">
        <v>28200</v>
      </c>
      <c r="Z619" s="294"/>
      <c r="AA619" s="251"/>
      <c r="AB619" s="251"/>
    </row>
    <row r="620" spans="1:28" s="295" customFormat="1" ht="15.75">
      <c r="A620" s="297"/>
      <c r="B620" s="284"/>
      <c r="C620" s="298"/>
      <c r="D620" s="284"/>
      <c r="E620" s="272"/>
      <c r="F620" s="151" t="s">
        <v>2266</v>
      </c>
      <c r="G620" s="284"/>
      <c r="H620" s="284"/>
      <c r="I620" s="284"/>
      <c r="J620" s="299"/>
      <c r="K620" s="288"/>
      <c r="L620" s="289"/>
      <c r="M620" s="288"/>
      <c r="N620" s="300"/>
      <c r="O620" s="290"/>
      <c r="P620" s="291"/>
      <c r="Q620" s="288"/>
      <c r="R620" s="300"/>
      <c r="S620" s="292"/>
      <c r="T620" s="296"/>
      <c r="U620" s="250"/>
      <c r="V620" s="250"/>
      <c r="W620" s="250"/>
      <c r="X620" s="250"/>
      <c r="Y620" s="293"/>
      <c r="Z620" s="385"/>
      <c r="AA620" s="251"/>
      <c r="AB620" s="251"/>
    </row>
    <row r="621" spans="1:28" s="295" customFormat="1" ht="15.75">
      <c r="A621" s="284">
        <v>517</v>
      </c>
      <c r="B621" s="284">
        <v>0</v>
      </c>
      <c r="C621" s="284" t="s">
        <v>2267</v>
      </c>
      <c r="D621" s="284" t="s">
        <v>3535</v>
      </c>
      <c r="E621" s="285" t="s">
        <v>2008</v>
      </c>
      <c r="F621" s="286" t="s">
        <v>2265</v>
      </c>
      <c r="G621" s="284">
        <v>220</v>
      </c>
      <c r="H621" s="284">
        <v>13</v>
      </c>
      <c r="I621" s="284">
        <v>0.95</v>
      </c>
      <c r="J621" s="287">
        <f>Y621*H621%*I621/G621*1000</f>
        <v>10553.636363636362</v>
      </c>
      <c r="K621" s="301">
        <v>3.8</v>
      </c>
      <c r="L621" s="289">
        <f>(Y621*K621%)/G621*1000</f>
        <v>3247.272727272727</v>
      </c>
      <c r="M621" s="301">
        <v>4</v>
      </c>
      <c r="N621" s="289">
        <f>(Y621*M621%)/G621*1000</f>
        <v>3418.181818181818</v>
      </c>
      <c r="O621" s="302">
        <v>9.9</v>
      </c>
      <c r="P621" s="272" t="s">
        <v>433</v>
      </c>
      <c r="Q621" s="288">
        <v>1.07</v>
      </c>
      <c r="R621" s="289">
        <f>O621*dien*Q621</f>
        <v>12065.427000000001</v>
      </c>
      <c r="S621" s="284" t="s">
        <v>295</v>
      </c>
      <c r="T621" s="296">
        <f>Nii3</f>
        <v>125620.38461538461</v>
      </c>
      <c r="U621" s="250">
        <f>ROUND((J621+L621+N621+R621+T621),0)</f>
        <v>154905</v>
      </c>
      <c r="V621" s="250">
        <v>172851</v>
      </c>
      <c r="W621" s="250">
        <v>154905</v>
      </c>
      <c r="X621" s="250">
        <v>128585</v>
      </c>
      <c r="Y621" s="293">
        <v>18800</v>
      </c>
      <c r="Z621" s="294"/>
      <c r="AA621" s="251"/>
      <c r="AB621" s="251"/>
    </row>
    <row r="622" spans="1:28" s="295" customFormat="1" ht="15.75">
      <c r="A622" s="284">
        <v>518</v>
      </c>
      <c r="B622" s="284" t="s">
        <v>3843</v>
      </c>
      <c r="C622" s="284" t="s">
        <v>2268</v>
      </c>
      <c r="D622" s="284" t="s">
        <v>3536</v>
      </c>
      <c r="E622" s="285" t="s">
        <v>2009</v>
      </c>
      <c r="F622" s="286" t="s">
        <v>3041</v>
      </c>
      <c r="G622" s="284">
        <v>220</v>
      </c>
      <c r="H622" s="284">
        <v>13</v>
      </c>
      <c r="I622" s="284">
        <v>0.95</v>
      </c>
      <c r="J622" s="287">
        <f>Y622*H622%*I622/G622*1000</f>
        <v>87909.54545454546</v>
      </c>
      <c r="K622" s="288">
        <v>3.86</v>
      </c>
      <c r="L622" s="289">
        <f>(Y622*K622%)/G622*1000</f>
        <v>27476.181818181813</v>
      </c>
      <c r="M622" s="288">
        <v>4</v>
      </c>
      <c r="N622" s="289">
        <f>(Y622*M622%)/G622*1000</f>
        <v>28472.727272727272</v>
      </c>
      <c r="O622" s="290">
        <v>27</v>
      </c>
      <c r="P622" s="291" t="s">
        <v>433</v>
      </c>
      <c r="Q622" s="288">
        <v>1.07</v>
      </c>
      <c r="R622" s="289">
        <f>O622*dien*Q622</f>
        <v>32905.71</v>
      </c>
      <c r="S622" s="284" t="s">
        <v>295</v>
      </c>
      <c r="T622" s="296">
        <f>'Nhan cong'!M$38</f>
        <v>125620.38461538461</v>
      </c>
      <c r="U622" s="250">
        <f>ROUND((J622+L622+N622+R622+T622),0)-1</f>
        <v>302384</v>
      </c>
      <c r="V622" s="250">
        <v>320330</v>
      </c>
      <c r="W622" s="250">
        <v>302384</v>
      </c>
      <c r="X622" s="250">
        <v>276064</v>
      </c>
      <c r="Y622" s="293">
        <v>156600</v>
      </c>
      <c r="Z622" s="294"/>
      <c r="AA622" s="251"/>
      <c r="AB622" s="251"/>
    </row>
    <row r="623" spans="1:28" s="295" customFormat="1" ht="31.5">
      <c r="A623" s="284">
        <v>519</v>
      </c>
      <c r="B623" s="284" t="s">
        <v>3842</v>
      </c>
      <c r="C623" s="284" t="s">
        <v>2269</v>
      </c>
      <c r="D623" s="284" t="s">
        <v>3537</v>
      </c>
      <c r="E623" s="285" t="s">
        <v>3078</v>
      </c>
      <c r="F623" s="286" t="s">
        <v>3078</v>
      </c>
      <c r="G623" s="284">
        <v>220</v>
      </c>
      <c r="H623" s="284">
        <v>13</v>
      </c>
      <c r="I623" s="284">
        <v>0.95</v>
      </c>
      <c r="J623" s="287">
        <f>Y623*H623%*I623/G623*1000</f>
        <v>38677.954545454544</v>
      </c>
      <c r="K623" s="301">
        <v>3.8</v>
      </c>
      <c r="L623" s="289">
        <f>(Y623*K623%)/G623*1000</f>
        <v>11900.90909090909</v>
      </c>
      <c r="M623" s="301">
        <v>4</v>
      </c>
      <c r="N623" s="289">
        <f>(Y623*M623%)/G623*1000</f>
        <v>12527.272727272728</v>
      </c>
      <c r="O623" s="302">
        <v>12.6</v>
      </c>
      <c r="P623" s="272" t="s">
        <v>433</v>
      </c>
      <c r="Q623" s="288">
        <v>1.07</v>
      </c>
      <c r="R623" s="289">
        <f>O623*dien*Q623</f>
        <v>15355.998000000001</v>
      </c>
      <c r="S623" s="284" t="s">
        <v>295</v>
      </c>
      <c r="T623" s="296">
        <f>Nii3</f>
        <v>125620.38461538461</v>
      </c>
      <c r="U623" s="250">
        <f>ROUND((J623+L623+N623+R623+T623),0)-1</f>
        <v>204082</v>
      </c>
      <c r="V623" s="250">
        <v>222028</v>
      </c>
      <c r="W623" s="250">
        <v>204082</v>
      </c>
      <c r="X623" s="250">
        <v>177762</v>
      </c>
      <c r="Y623" s="293">
        <v>68900</v>
      </c>
      <c r="Z623" s="294"/>
      <c r="AA623" s="251"/>
      <c r="AB623" s="251"/>
    </row>
    <row r="624" spans="1:28" s="295" customFormat="1" ht="15.75">
      <c r="A624" s="297"/>
      <c r="B624" s="284"/>
      <c r="C624" s="298"/>
      <c r="D624" s="284"/>
      <c r="E624" s="272"/>
      <c r="F624" s="149" t="s">
        <v>3079</v>
      </c>
      <c r="G624" s="284"/>
      <c r="H624" s="284"/>
      <c r="I624" s="284"/>
      <c r="J624" s="299"/>
      <c r="K624" s="301"/>
      <c r="L624" s="289"/>
      <c r="M624" s="301"/>
      <c r="N624" s="300"/>
      <c r="O624" s="302"/>
      <c r="P624" s="272"/>
      <c r="Q624" s="288"/>
      <c r="R624" s="300"/>
      <c r="S624" s="284"/>
      <c r="T624" s="296"/>
      <c r="U624" s="250"/>
      <c r="V624" s="250"/>
      <c r="W624" s="250"/>
      <c r="X624" s="250"/>
      <c r="Y624" s="293"/>
      <c r="Z624" s="385"/>
      <c r="AA624" s="251"/>
      <c r="AB624" s="251"/>
    </row>
    <row r="625" spans="1:28" s="295" customFormat="1" ht="15.75">
      <c r="A625" s="284">
        <v>520</v>
      </c>
      <c r="B625" s="284">
        <v>0</v>
      </c>
      <c r="C625" s="284" t="s">
        <v>3080</v>
      </c>
      <c r="D625" s="284" t="s">
        <v>3538</v>
      </c>
      <c r="E625" s="285" t="s">
        <v>2010</v>
      </c>
      <c r="F625" s="286" t="s">
        <v>2265</v>
      </c>
      <c r="G625" s="284">
        <v>220</v>
      </c>
      <c r="H625" s="284">
        <v>13</v>
      </c>
      <c r="I625" s="284">
        <v>0.95</v>
      </c>
      <c r="J625" s="287">
        <f>Y625*H625%*I625/G625*1000</f>
        <v>30762.72727272727</v>
      </c>
      <c r="K625" s="301">
        <v>3.86</v>
      </c>
      <c r="L625" s="289">
        <f>(Y625*K625%)/G625*1000</f>
        <v>9614.909090909088</v>
      </c>
      <c r="M625" s="301">
        <v>4</v>
      </c>
      <c r="N625" s="289">
        <f>(Y625*M625%)/G625*1000</f>
        <v>9963.636363636362</v>
      </c>
      <c r="O625" s="302">
        <v>9.9</v>
      </c>
      <c r="P625" s="272" t="s">
        <v>433</v>
      </c>
      <c r="Q625" s="288">
        <v>1.07</v>
      </c>
      <c r="R625" s="289">
        <f>O625*dien*Q625</f>
        <v>12065.427000000001</v>
      </c>
      <c r="S625" s="284" t="s">
        <v>295</v>
      </c>
      <c r="T625" s="296">
        <f>Nii3</f>
        <v>125620.38461538461</v>
      </c>
      <c r="U625" s="250">
        <f>ROUND((J625+L625+N625+R625+T625),0)</f>
        <v>188027</v>
      </c>
      <c r="V625" s="250">
        <v>205973</v>
      </c>
      <c r="W625" s="250">
        <v>188027</v>
      </c>
      <c r="X625" s="250">
        <v>161707</v>
      </c>
      <c r="Y625" s="293">
        <v>54800</v>
      </c>
      <c r="Z625" s="294"/>
      <c r="AA625" s="251"/>
      <c r="AB625" s="251"/>
    </row>
    <row r="626" spans="1:28" s="295" customFormat="1" ht="15.75">
      <c r="A626" s="297"/>
      <c r="B626" s="284"/>
      <c r="C626" s="298"/>
      <c r="D626" s="284"/>
      <c r="E626" s="272"/>
      <c r="F626" s="151" t="s">
        <v>3081</v>
      </c>
      <c r="G626" s="284"/>
      <c r="H626" s="284"/>
      <c r="I626" s="284"/>
      <c r="J626" s="299"/>
      <c r="K626" s="288"/>
      <c r="L626" s="289"/>
      <c r="M626" s="288"/>
      <c r="N626" s="300"/>
      <c r="O626" s="290"/>
      <c r="P626" s="291"/>
      <c r="Q626" s="288"/>
      <c r="R626" s="300"/>
      <c r="S626" s="292"/>
      <c r="T626" s="296"/>
      <c r="U626" s="250"/>
      <c r="V626" s="250"/>
      <c r="W626" s="250"/>
      <c r="X626" s="250"/>
      <c r="Y626" s="293"/>
      <c r="Z626" s="385"/>
      <c r="AA626" s="251"/>
      <c r="AB626" s="251"/>
    </row>
    <row r="627" spans="1:28" s="295" customFormat="1" ht="15.75">
      <c r="A627" s="284">
        <v>521</v>
      </c>
      <c r="B627" s="284" t="s">
        <v>3836</v>
      </c>
      <c r="C627" s="284" t="s">
        <v>3082</v>
      </c>
      <c r="D627" s="284" t="s">
        <v>3539</v>
      </c>
      <c r="E627" s="285" t="s">
        <v>2011</v>
      </c>
      <c r="F627" s="286" t="s">
        <v>1225</v>
      </c>
      <c r="G627" s="284">
        <v>220</v>
      </c>
      <c r="H627" s="284">
        <v>14</v>
      </c>
      <c r="I627" s="284">
        <v>0.95</v>
      </c>
      <c r="J627" s="287">
        <f>Y627*H627%*I627/G627*1000</f>
        <v>25209.545454545456</v>
      </c>
      <c r="K627" s="288">
        <v>4.08</v>
      </c>
      <c r="L627" s="289">
        <f>(Y627*K627%)/G627*1000</f>
        <v>7733.454545454547</v>
      </c>
      <c r="M627" s="288">
        <v>4</v>
      </c>
      <c r="N627" s="289">
        <f>(Y627*M627%)/G627*1000</f>
        <v>7581.818181818182</v>
      </c>
      <c r="O627" s="290">
        <v>5.04</v>
      </c>
      <c r="P627" s="291" t="s">
        <v>433</v>
      </c>
      <c r="Q627" s="288">
        <v>1.07</v>
      </c>
      <c r="R627" s="289">
        <f>O627*dien*Q627</f>
        <v>6142.399200000001</v>
      </c>
      <c r="S627" s="292" t="s">
        <v>295</v>
      </c>
      <c r="T627" s="296">
        <f>'Nhan cong'!M$38</f>
        <v>125620.38461538461</v>
      </c>
      <c r="U627" s="250">
        <f>ROUND((J627+L627+N627+R627+T627),0)-1</f>
        <v>172287</v>
      </c>
      <c r="V627" s="250">
        <v>190233</v>
      </c>
      <c r="W627" s="250">
        <v>172287</v>
      </c>
      <c r="X627" s="250">
        <v>145967</v>
      </c>
      <c r="Y627" s="293">
        <v>41700</v>
      </c>
      <c r="Z627" s="294"/>
      <c r="AA627" s="251"/>
      <c r="AB627" s="251"/>
    </row>
    <row r="628" spans="1:28" s="295" customFormat="1" ht="15.75">
      <c r="A628" s="297"/>
      <c r="B628" s="284"/>
      <c r="C628" s="298"/>
      <c r="D628" s="284"/>
      <c r="E628" s="272"/>
      <c r="F628" s="151" t="s">
        <v>3083</v>
      </c>
      <c r="G628" s="284"/>
      <c r="H628" s="284"/>
      <c r="I628" s="284"/>
      <c r="J628" s="299"/>
      <c r="K628" s="288"/>
      <c r="L628" s="289"/>
      <c r="M628" s="288"/>
      <c r="N628" s="300"/>
      <c r="O628" s="290"/>
      <c r="P628" s="291"/>
      <c r="Q628" s="288"/>
      <c r="R628" s="300"/>
      <c r="S628" s="292"/>
      <c r="T628" s="296"/>
      <c r="U628" s="250"/>
      <c r="V628" s="250"/>
      <c r="W628" s="250"/>
      <c r="X628" s="250"/>
      <c r="Y628" s="293"/>
      <c r="Z628" s="385"/>
      <c r="AA628" s="251"/>
      <c r="AB628" s="251"/>
    </row>
    <row r="629" spans="1:28" s="295" customFormat="1" ht="15.75">
      <c r="A629" s="284">
        <v>522</v>
      </c>
      <c r="B629" s="284" t="s">
        <v>3844</v>
      </c>
      <c r="C629" s="284" t="s">
        <v>3084</v>
      </c>
      <c r="D629" s="284" t="s">
        <v>3540</v>
      </c>
      <c r="E629" s="285" t="s">
        <v>2012</v>
      </c>
      <c r="F629" s="286" t="s">
        <v>3085</v>
      </c>
      <c r="G629" s="284">
        <v>220</v>
      </c>
      <c r="H629" s="284">
        <v>14</v>
      </c>
      <c r="I629" s="284">
        <v>0.95</v>
      </c>
      <c r="J629" s="287">
        <f>Y629*H629%*I629/G629*1000</f>
        <v>11002.727272727274</v>
      </c>
      <c r="K629" s="288">
        <v>4.08</v>
      </c>
      <c r="L629" s="289">
        <f>(Y629*K629%)/G629*1000</f>
        <v>3375.2727272727275</v>
      </c>
      <c r="M629" s="288">
        <v>4</v>
      </c>
      <c r="N629" s="289">
        <f>(Y629*M629%)/G629*1000</f>
        <v>3309.090909090909</v>
      </c>
      <c r="O629" s="290">
        <v>9</v>
      </c>
      <c r="P629" s="291" t="s">
        <v>433</v>
      </c>
      <c r="Q629" s="288">
        <v>1.07</v>
      </c>
      <c r="R629" s="289">
        <f>O629*dien*Q629</f>
        <v>10968.570000000002</v>
      </c>
      <c r="S629" s="292" t="s">
        <v>295</v>
      </c>
      <c r="T629" s="296">
        <f>'Nhan cong'!M$38</f>
        <v>125620.38461538461</v>
      </c>
      <c r="U629" s="250">
        <f>ROUND((J629+L629+N629+R629+T629),0)</f>
        <v>154276</v>
      </c>
      <c r="V629" s="250">
        <v>172222</v>
      </c>
      <c r="W629" s="250">
        <v>154276</v>
      </c>
      <c r="X629" s="250">
        <v>127956</v>
      </c>
      <c r="Y629" s="293">
        <v>18200</v>
      </c>
      <c r="Z629" s="294"/>
      <c r="AA629" s="251"/>
      <c r="AB629" s="251"/>
    </row>
    <row r="630" spans="1:28" s="295" customFormat="1" ht="15.75">
      <c r="A630" s="297"/>
      <c r="B630" s="284"/>
      <c r="C630" s="298"/>
      <c r="D630" s="284"/>
      <c r="E630" s="272"/>
      <c r="F630" s="151" t="s">
        <v>3086</v>
      </c>
      <c r="G630" s="284"/>
      <c r="H630" s="284"/>
      <c r="I630" s="284"/>
      <c r="J630" s="299"/>
      <c r="K630" s="288"/>
      <c r="L630" s="289"/>
      <c r="M630" s="288"/>
      <c r="N630" s="300"/>
      <c r="O630" s="290"/>
      <c r="P630" s="291"/>
      <c r="Q630" s="288"/>
      <c r="R630" s="300"/>
      <c r="S630" s="292"/>
      <c r="T630" s="296"/>
      <c r="U630" s="250"/>
      <c r="V630" s="250"/>
      <c r="W630" s="250"/>
      <c r="X630" s="250"/>
      <c r="Y630" s="293"/>
      <c r="Z630" s="385"/>
      <c r="AA630" s="251"/>
      <c r="AB630" s="251"/>
    </row>
    <row r="631" spans="1:28" s="295" customFormat="1" ht="15.75">
      <c r="A631" s="284">
        <v>523</v>
      </c>
      <c r="B631" s="284">
        <v>0</v>
      </c>
      <c r="C631" s="284" t="s">
        <v>3087</v>
      </c>
      <c r="D631" s="284" t="s">
        <v>3541</v>
      </c>
      <c r="E631" s="285" t="s">
        <v>2013</v>
      </c>
      <c r="F631" s="286" t="s">
        <v>2249</v>
      </c>
      <c r="G631" s="284">
        <v>220</v>
      </c>
      <c r="H631" s="284">
        <v>14</v>
      </c>
      <c r="I631" s="284">
        <v>0.95</v>
      </c>
      <c r="J631" s="287">
        <f>Y631*H631%*I631/G631*1000</f>
        <v>13723.18181818182</v>
      </c>
      <c r="K631" s="288">
        <v>4.08</v>
      </c>
      <c r="L631" s="289">
        <f>(Y631*K631%)/G631*1000</f>
        <v>4209.818181818182</v>
      </c>
      <c r="M631" s="288">
        <v>4</v>
      </c>
      <c r="N631" s="289">
        <f>(Y631*M631%)/G631*1000</f>
        <v>4127.272727272727</v>
      </c>
      <c r="O631" s="290">
        <v>3.57</v>
      </c>
      <c r="P631" s="291" t="s">
        <v>433</v>
      </c>
      <c r="Q631" s="288">
        <v>1.07</v>
      </c>
      <c r="R631" s="289">
        <f>O631*dien*Q631</f>
        <v>4350.8661</v>
      </c>
      <c r="S631" s="292" t="s">
        <v>295</v>
      </c>
      <c r="T631" s="296">
        <f>'Nhan cong'!M$38</f>
        <v>125620.38461538461</v>
      </c>
      <c r="U631" s="250">
        <f>ROUND((J631+L631+N631+R631+T631),0)-1</f>
        <v>152031</v>
      </c>
      <c r="V631" s="250">
        <v>169977</v>
      </c>
      <c r="W631" s="250">
        <v>152031</v>
      </c>
      <c r="X631" s="250">
        <v>125711</v>
      </c>
      <c r="Y631" s="293">
        <v>22700</v>
      </c>
      <c r="Z631" s="294"/>
      <c r="AA631" s="251"/>
      <c r="AB631" s="251"/>
    </row>
    <row r="632" spans="1:28" s="295" customFormat="1" ht="15.75">
      <c r="A632" s="284">
        <v>524</v>
      </c>
      <c r="B632" s="284" t="s">
        <v>585</v>
      </c>
      <c r="C632" s="284" t="s">
        <v>3088</v>
      </c>
      <c r="D632" s="284" t="s">
        <v>3542</v>
      </c>
      <c r="E632" s="285" t="s">
        <v>2014</v>
      </c>
      <c r="F632" s="286" t="s">
        <v>3089</v>
      </c>
      <c r="G632" s="284">
        <v>220</v>
      </c>
      <c r="H632" s="284">
        <v>14</v>
      </c>
      <c r="I632" s="284">
        <v>0.95</v>
      </c>
      <c r="J632" s="287">
        <f>Y632*H632%*I632/G632*1000</f>
        <v>16504.090909090908</v>
      </c>
      <c r="K632" s="301">
        <v>4.1</v>
      </c>
      <c r="L632" s="289">
        <f>(Y632*K632%)/G632*1000</f>
        <v>5087.727272727273</v>
      </c>
      <c r="M632" s="301">
        <v>4</v>
      </c>
      <c r="N632" s="289">
        <f>(Y632*M632%)/G632*1000</f>
        <v>4963.636363636364</v>
      </c>
      <c r="O632" s="302">
        <v>5.7</v>
      </c>
      <c r="P632" s="272" t="s">
        <v>433</v>
      </c>
      <c r="Q632" s="288">
        <v>1.07</v>
      </c>
      <c r="R632" s="289">
        <f>O632*dien*Q632</f>
        <v>6946.761</v>
      </c>
      <c r="S632" s="284" t="s">
        <v>295</v>
      </c>
      <c r="T632" s="296">
        <f>Nii3</f>
        <v>125620.38461538461</v>
      </c>
      <c r="U632" s="250">
        <f>ROUND((J632+L632+N632+R632+T632),0)-1</f>
        <v>159122</v>
      </c>
      <c r="V632" s="250">
        <v>177068</v>
      </c>
      <c r="W632" s="250">
        <v>159122</v>
      </c>
      <c r="X632" s="250">
        <v>132802</v>
      </c>
      <c r="Y632" s="293">
        <v>27300</v>
      </c>
      <c r="Z632" s="294"/>
      <c r="AA632" s="251"/>
      <c r="AB632" s="251"/>
    </row>
    <row r="633" spans="1:28" s="295" customFormat="1" ht="15.75">
      <c r="A633" s="297"/>
      <c r="B633" s="284"/>
      <c r="C633" s="298"/>
      <c r="D633" s="284"/>
      <c r="E633" s="272"/>
      <c r="F633" s="151" t="s">
        <v>3090</v>
      </c>
      <c r="G633" s="284"/>
      <c r="H633" s="284"/>
      <c r="I633" s="284"/>
      <c r="J633" s="299"/>
      <c r="K633" s="288"/>
      <c r="L633" s="289"/>
      <c r="M633" s="288"/>
      <c r="N633" s="300"/>
      <c r="O633" s="290"/>
      <c r="P633" s="291"/>
      <c r="Q633" s="288"/>
      <c r="R633" s="300"/>
      <c r="S633" s="292"/>
      <c r="T633" s="296"/>
      <c r="U633" s="250"/>
      <c r="V633" s="250"/>
      <c r="W633" s="250"/>
      <c r="X633" s="250"/>
      <c r="Y633" s="293"/>
      <c r="Z633" s="385"/>
      <c r="AA633" s="251"/>
      <c r="AB633" s="251"/>
    </row>
    <row r="634" spans="1:28" s="295" customFormat="1" ht="15.75">
      <c r="A634" s="284">
        <v>525</v>
      </c>
      <c r="B634" s="284">
        <v>0</v>
      </c>
      <c r="C634" s="284" t="s">
        <v>3091</v>
      </c>
      <c r="D634" s="284" t="s">
        <v>3543</v>
      </c>
      <c r="E634" s="285" t="s">
        <v>2015</v>
      </c>
      <c r="F634" s="286" t="s">
        <v>3092</v>
      </c>
      <c r="G634" s="284">
        <v>220</v>
      </c>
      <c r="H634" s="284">
        <v>14</v>
      </c>
      <c r="I634" s="284">
        <v>0.95</v>
      </c>
      <c r="J634" s="287">
        <f>Y634*H634%*I634/G634*1000</f>
        <v>24484.09090909091</v>
      </c>
      <c r="K634" s="288">
        <v>4.08</v>
      </c>
      <c r="L634" s="289">
        <f>(Y634*K634%)/G634*1000</f>
        <v>7510.909090909092</v>
      </c>
      <c r="M634" s="288">
        <v>4</v>
      </c>
      <c r="N634" s="289">
        <f>(Y634*M634%)/G634*1000</f>
        <v>7363.636363636363</v>
      </c>
      <c r="O634" s="290">
        <v>9.45</v>
      </c>
      <c r="P634" s="291" t="s">
        <v>433</v>
      </c>
      <c r="Q634" s="288">
        <v>1.07</v>
      </c>
      <c r="R634" s="289">
        <f>O634*dien*Q634</f>
        <v>11516.9985</v>
      </c>
      <c r="S634" s="292" t="s">
        <v>295</v>
      </c>
      <c r="T634" s="296">
        <f>'Nhan cong'!M$38</f>
        <v>125620.38461538461</v>
      </c>
      <c r="U634" s="250">
        <f>ROUND((J634+L634+N634+R634+T634),0)</f>
        <v>176496</v>
      </c>
      <c r="V634" s="250">
        <v>194442</v>
      </c>
      <c r="W634" s="250">
        <v>176496</v>
      </c>
      <c r="X634" s="250">
        <v>150176</v>
      </c>
      <c r="Y634" s="293">
        <v>40500</v>
      </c>
      <c r="Z634" s="294"/>
      <c r="AA634" s="251"/>
      <c r="AB634" s="251"/>
    </row>
    <row r="635" spans="1:28" s="295" customFormat="1" ht="15.75">
      <c r="A635" s="284">
        <v>526</v>
      </c>
      <c r="B635" s="284" t="s">
        <v>785</v>
      </c>
      <c r="C635" s="284" t="s">
        <v>3093</v>
      </c>
      <c r="D635" s="284" t="s">
        <v>3544</v>
      </c>
      <c r="E635" s="285" t="s">
        <v>2016</v>
      </c>
      <c r="F635" s="286" t="s">
        <v>3094</v>
      </c>
      <c r="G635" s="284">
        <v>220</v>
      </c>
      <c r="H635" s="284">
        <v>14</v>
      </c>
      <c r="I635" s="284">
        <v>0.95</v>
      </c>
      <c r="J635" s="287">
        <f>Y635*H635%*I635/G635*1000</f>
        <v>67346.36363636363</v>
      </c>
      <c r="K635" s="301">
        <v>4.1</v>
      </c>
      <c r="L635" s="289">
        <f>(Y635*K635%)/G635*1000</f>
        <v>20760.90909090909</v>
      </c>
      <c r="M635" s="301">
        <v>4</v>
      </c>
      <c r="N635" s="289">
        <f>(Y635*M635%)/G635*1000</f>
        <v>20254.545454545452</v>
      </c>
      <c r="O635" s="302">
        <v>18.9</v>
      </c>
      <c r="P635" s="272" t="s">
        <v>433</v>
      </c>
      <c r="Q635" s="288">
        <v>1.07</v>
      </c>
      <c r="R635" s="289">
        <f>O635*dien*Q635</f>
        <v>23033.997</v>
      </c>
      <c r="S635" s="284" t="s">
        <v>295</v>
      </c>
      <c r="T635" s="296">
        <f>Nii3</f>
        <v>125620.38461538461</v>
      </c>
      <c r="U635" s="250">
        <f>ROUND((J635+L635+N635+R635+T635),0)</f>
        <v>257016</v>
      </c>
      <c r="V635" s="250">
        <v>274962</v>
      </c>
      <c r="W635" s="250">
        <v>257016</v>
      </c>
      <c r="X635" s="250">
        <v>230696</v>
      </c>
      <c r="Y635" s="293">
        <v>111400</v>
      </c>
      <c r="Z635" s="294"/>
      <c r="AA635" s="251"/>
      <c r="AB635" s="251"/>
    </row>
    <row r="636" spans="1:28" s="295" customFormat="1" ht="15.75">
      <c r="A636" s="297"/>
      <c r="B636" s="284"/>
      <c r="C636" s="298"/>
      <c r="D636" s="284"/>
      <c r="E636" s="272"/>
      <c r="F636" s="149" t="s">
        <v>3095</v>
      </c>
      <c r="G636" s="284"/>
      <c r="H636" s="284"/>
      <c r="I636" s="284"/>
      <c r="J636" s="299"/>
      <c r="K636" s="301"/>
      <c r="L636" s="289"/>
      <c r="M636" s="301"/>
      <c r="N636" s="300"/>
      <c r="O636" s="302"/>
      <c r="P636" s="272"/>
      <c r="Q636" s="288"/>
      <c r="R636" s="300"/>
      <c r="S636" s="284"/>
      <c r="T636" s="296"/>
      <c r="U636" s="250"/>
      <c r="V636" s="250"/>
      <c r="W636" s="250"/>
      <c r="X636" s="250"/>
      <c r="Y636" s="293"/>
      <c r="Z636" s="385"/>
      <c r="AA636" s="251"/>
      <c r="AB636" s="251"/>
    </row>
    <row r="637" spans="1:28" s="295" customFormat="1" ht="15.75">
      <c r="A637" s="284">
        <v>527</v>
      </c>
      <c r="B637" s="284" t="s">
        <v>3820</v>
      </c>
      <c r="C637" s="284" t="s">
        <v>3096</v>
      </c>
      <c r="D637" s="284" t="s">
        <v>3545</v>
      </c>
      <c r="E637" s="285" t="s">
        <v>2017</v>
      </c>
      <c r="F637" s="286" t="s">
        <v>3097</v>
      </c>
      <c r="G637" s="284">
        <v>220</v>
      </c>
      <c r="H637" s="284">
        <v>14</v>
      </c>
      <c r="I637" s="284">
        <v>0.95</v>
      </c>
      <c r="J637" s="287">
        <f>Y637*H637%*I637/G637*1000</f>
        <v>44071.36363636364</v>
      </c>
      <c r="K637" s="301">
        <v>4.1</v>
      </c>
      <c r="L637" s="289">
        <f>(Y637*K637%)/G637*1000</f>
        <v>13585.909090909088</v>
      </c>
      <c r="M637" s="301">
        <v>4</v>
      </c>
      <c r="N637" s="289">
        <f>(Y637*M637%)/G637*1000</f>
        <v>13254.545454545454</v>
      </c>
      <c r="O637" s="302">
        <v>15.8</v>
      </c>
      <c r="P637" s="272" t="s">
        <v>433</v>
      </c>
      <c r="Q637" s="288">
        <v>1.07</v>
      </c>
      <c r="R637" s="289">
        <f>O637*dien*Q637</f>
        <v>19255.934</v>
      </c>
      <c r="S637" s="284" t="s">
        <v>295</v>
      </c>
      <c r="T637" s="296">
        <f>Nii3</f>
        <v>125620.38461538461</v>
      </c>
      <c r="U637" s="250">
        <f>ROUND((J637+L637+N637+R637+T637),0)</f>
        <v>215788</v>
      </c>
      <c r="V637" s="250">
        <v>233734</v>
      </c>
      <c r="W637" s="250">
        <v>215788</v>
      </c>
      <c r="X637" s="250">
        <v>189468</v>
      </c>
      <c r="Y637" s="293">
        <v>72900</v>
      </c>
      <c r="Z637" s="294"/>
      <c r="AA637" s="251"/>
      <c r="AB637" s="251"/>
    </row>
    <row r="638" spans="1:28" s="295" customFormat="1" ht="15.75">
      <c r="A638" s="297"/>
      <c r="B638" s="284"/>
      <c r="C638" s="298"/>
      <c r="D638" s="284"/>
      <c r="E638" s="272"/>
      <c r="F638" s="149" t="s">
        <v>3098</v>
      </c>
      <c r="G638" s="284"/>
      <c r="H638" s="284"/>
      <c r="I638" s="284"/>
      <c r="J638" s="299"/>
      <c r="K638" s="301"/>
      <c r="L638" s="289"/>
      <c r="M638" s="301"/>
      <c r="N638" s="300"/>
      <c r="O638" s="302"/>
      <c r="P638" s="272"/>
      <c r="Q638" s="288"/>
      <c r="R638" s="300"/>
      <c r="S638" s="284"/>
      <c r="T638" s="296"/>
      <c r="U638" s="250"/>
      <c r="V638" s="250"/>
      <c r="W638" s="250"/>
      <c r="X638" s="250"/>
      <c r="Y638" s="293"/>
      <c r="Z638" s="385"/>
      <c r="AA638" s="251"/>
      <c r="AB638" s="251"/>
    </row>
    <row r="639" spans="1:28" s="295" customFormat="1" ht="15.75">
      <c r="A639" s="284">
        <v>528</v>
      </c>
      <c r="B639" s="284" t="s">
        <v>635</v>
      </c>
      <c r="C639" s="284" t="s">
        <v>3099</v>
      </c>
      <c r="D639" s="284" t="s">
        <v>3546</v>
      </c>
      <c r="E639" s="285" t="s">
        <v>2018</v>
      </c>
      <c r="F639" s="286" t="s">
        <v>2186</v>
      </c>
      <c r="G639" s="284">
        <v>220</v>
      </c>
      <c r="H639" s="284">
        <v>14</v>
      </c>
      <c r="I639" s="284">
        <v>0.95</v>
      </c>
      <c r="J639" s="287">
        <f>Y639*H639%*I639/G639*1000</f>
        <v>53865</v>
      </c>
      <c r="K639" s="301">
        <v>4.1</v>
      </c>
      <c r="L639" s="289">
        <f>(Y639*K639%)/G639*1000</f>
        <v>16604.999999999996</v>
      </c>
      <c r="M639" s="301">
        <v>4</v>
      </c>
      <c r="N639" s="289">
        <f>(Y639*M639%)/G639*1000</f>
        <v>16200</v>
      </c>
      <c r="O639" s="302">
        <v>14.7</v>
      </c>
      <c r="P639" s="272" t="s">
        <v>433</v>
      </c>
      <c r="Q639" s="288">
        <v>1.07</v>
      </c>
      <c r="R639" s="289">
        <f>O639*dien*Q639</f>
        <v>17915.331000000002</v>
      </c>
      <c r="S639" s="284" t="s">
        <v>295</v>
      </c>
      <c r="T639" s="296">
        <f>Nii3</f>
        <v>125620.38461538461</v>
      </c>
      <c r="U639" s="250">
        <f>ROUND((J639+L639+N639+R639+T639),0)-1</f>
        <v>230205</v>
      </c>
      <c r="V639" s="250">
        <v>248151</v>
      </c>
      <c r="W639" s="250">
        <v>230205</v>
      </c>
      <c r="X639" s="250">
        <v>203885</v>
      </c>
      <c r="Y639" s="293">
        <v>89100</v>
      </c>
      <c r="Z639" s="294"/>
      <c r="AA639" s="251"/>
      <c r="AB639" s="251"/>
    </row>
    <row r="640" spans="1:28" s="295" customFormat="1" ht="15.75">
      <c r="A640" s="297"/>
      <c r="B640" s="284"/>
      <c r="C640" s="298"/>
      <c r="D640" s="284"/>
      <c r="E640" s="272"/>
      <c r="F640" s="149" t="s">
        <v>3100</v>
      </c>
      <c r="G640" s="284"/>
      <c r="H640" s="284"/>
      <c r="I640" s="284"/>
      <c r="J640" s="299"/>
      <c r="K640" s="301"/>
      <c r="L640" s="289"/>
      <c r="M640" s="301"/>
      <c r="N640" s="300"/>
      <c r="O640" s="302"/>
      <c r="P640" s="272"/>
      <c r="Q640" s="288"/>
      <c r="R640" s="300"/>
      <c r="S640" s="284"/>
      <c r="T640" s="296"/>
      <c r="U640" s="250"/>
      <c r="V640" s="250"/>
      <c r="W640" s="250"/>
      <c r="X640" s="250"/>
      <c r="Y640" s="293"/>
      <c r="Z640" s="385"/>
      <c r="AA640" s="251"/>
      <c r="AB640" s="251"/>
    </row>
    <row r="641" spans="1:28" s="295" customFormat="1" ht="15.75">
      <c r="A641" s="284">
        <v>529</v>
      </c>
      <c r="B641" s="284" t="s">
        <v>720</v>
      </c>
      <c r="C641" s="284" t="s">
        <v>3101</v>
      </c>
      <c r="D641" s="284" t="s">
        <v>3769</v>
      </c>
      <c r="E641" s="285" t="s">
        <v>117</v>
      </c>
      <c r="F641" s="286" t="s">
        <v>3102</v>
      </c>
      <c r="G641" s="284">
        <v>200</v>
      </c>
      <c r="H641" s="284">
        <v>14</v>
      </c>
      <c r="I641" s="284">
        <v>1</v>
      </c>
      <c r="J641" s="287">
        <f>Y641*H641%*I641/G641*1000</f>
        <v>4270.000000000001</v>
      </c>
      <c r="K641" s="301">
        <v>4.1</v>
      </c>
      <c r="L641" s="289">
        <f>(Y641*K641%)/G641*1000</f>
        <v>1250.4999999999998</v>
      </c>
      <c r="M641" s="301">
        <v>4</v>
      </c>
      <c r="N641" s="289">
        <f>(Y641*M641%)/G641*1000</f>
        <v>1220</v>
      </c>
      <c r="O641" s="302">
        <v>2.3</v>
      </c>
      <c r="P641" s="272" t="s">
        <v>433</v>
      </c>
      <c r="Q641" s="288">
        <v>1.07</v>
      </c>
      <c r="R641" s="289">
        <f>O641*dien*Q641</f>
        <v>2803.079</v>
      </c>
      <c r="S641" s="284" t="s">
        <v>1591</v>
      </c>
      <c r="T641" s="296">
        <f>Nii4</f>
        <v>145974.23076923078</v>
      </c>
      <c r="U641" s="250">
        <f>ROUND((J641+L641+N641+R641+T641),0)</f>
        <v>155518</v>
      </c>
      <c r="V641" s="250">
        <v>176372</v>
      </c>
      <c r="W641" s="250">
        <v>155518</v>
      </c>
      <c r="X641" s="250">
        <v>124933</v>
      </c>
      <c r="Y641" s="293">
        <v>6100</v>
      </c>
      <c r="Z641" s="294"/>
      <c r="AA641" s="251"/>
      <c r="AB641" s="251"/>
    </row>
    <row r="642" spans="1:28" s="295" customFormat="1" ht="15.75">
      <c r="A642" s="297"/>
      <c r="B642" s="284"/>
      <c r="C642" s="298"/>
      <c r="D642" s="284"/>
      <c r="E642" s="272"/>
      <c r="F642" s="151" t="s">
        <v>3103</v>
      </c>
      <c r="G642" s="284"/>
      <c r="H642" s="284"/>
      <c r="I642" s="284"/>
      <c r="J642" s="299"/>
      <c r="K642" s="288"/>
      <c r="L642" s="289"/>
      <c r="M642" s="288"/>
      <c r="N642" s="300"/>
      <c r="O642" s="290"/>
      <c r="P642" s="291"/>
      <c r="Q642" s="288"/>
      <c r="R642" s="300"/>
      <c r="S642" s="292"/>
      <c r="T642" s="296"/>
      <c r="U642" s="250"/>
      <c r="V642" s="250"/>
      <c r="W642" s="250"/>
      <c r="X642" s="250"/>
      <c r="Y642" s="293"/>
      <c r="Z642" s="385"/>
      <c r="AA642" s="251"/>
      <c r="AB642" s="251"/>
    </row>
    <row r="643" spans="1:28" s="295" customFormat="1" ht="15.75">
      <c r="A643" s="284">
        <v>530</v>
      </c>
      <c r="B643" s="284" t="s">
        <v>623</v>
      </c>
      <c r="C643" s="284" t="s">
        <v>3104</v>
      </c>
      <c r="D643" s="284" t="s">
        <v>3547</v>
      </c>
      <c r="E643" s="285" t="s">
        <v>2019</v>
      </c>
      <c r="F643" s="286" t="s">
        <v>3105</v>
      </c>
      <c r="G643" s="284">
        <v>200</v>
      </c>
      <c r="H643" s="284">
        <v>14</v>
      </c>
      <c r="I643" s="284">
        <v>1</v>
      </c>
      <c r="J643" s="287">
        <f>Y643*H643%*I643/G643*1000</f>
        <v>2450</v>
      </c>
      <c r="K643" s="288">
        <v>4.92</v>
      </c>
      <c r="L643" s="289">
        <f>(Y643*K643%)/G643*1000</f>
        <v>861</v>
      </c>
      <c r="M643" s="288">
        <v>4</v>
      </c>
      <c r="N643" s="289">
        <f>(Y643*M643%)/G643*1000</f>
        <v>700</v>
      </c>
      <c r="O643" s="290">
        <v>1.8</v>
      </c>
      <c r="P643" s="291" t="s">
        <v>433</v>
      </c>
      <c r="Q643" s="288">
        <v>1.07</v>
      </c>
      <c r="R643" s="289">
        <f>O643*dien*Q643</f>
        <v>2193.7140000000004</v>
      </c>
      <c r="S643" s="292" t="s">
        <v>295</v>
      </c>
      <c r="T643" s="296">
        <f>'Nhan cong'!M$38</f>
        <v>125620.38461538461</v>
      </c>
      <c r="U643" s="250">
        <f>ROUND((J643+L643+N643+R643+T643),0)</f>
        <v>131825</v>
      </c>
      <c r="V643" s="250">
        <v>149771</v>
      </c>
      <c r="W643" s="250">
        <v>131825</v>
      </c>
      <c r="X643" s="250">
        <v>105505</v>
      </c>
      <c r="Y643" s="293">
        <v>3500</v>
      </c>
      <c r="Z643" s="294"/>
      <c r="AA643" s="251"/>
      <c r="AB643" s="251"/>
    </row>
    <row r="644" spans="1:28" s="295" customFormat="1" ht="15.75">
      <c r="A644" s="284">
        <v>531</v>
      </c>
      <c r="B644" s="284" t="s">
        <v>624</v>
      </c>
      <c r="C644" s="284" t="s">
        <v>3106</v>
      </c>
      <c r="D644" s="284" t="s">
        <v>3548</v>
      </c>
      <c r="E644" s="285" t="s">
        <v>2020</v>
      </c>
      <c r="F644" s="286" t="s">
        <v>3107</v>
      </c>
      <c r="G644" s="284">
        <v>220</v>
      </c>
      <c r="H644" s="284">
        <v>14</v>
      </c>
      <c r="I644" s="284">
        <v>1</v>
      </c>
      <c r="J644" s="287">
        <f>Y644*H644%*I644/G644*1000</f>
        <v>7127.272727272728</v>
      </c>
      <c r="K644" s="288">
        <v>4.92</v>
      </c>
      <c r="L644" s="289">
        <f>(Y644*K644%)/G644*1000</f>
        <v>2504.7272727272725</v>
      </c>
      <c r="M644" s="288">
        <v>4</v>
      </c>
      <c r="N644" s="289">
        <f>(Y644*M644%)/G644*1000</f>
        <v>2036.3636363636363</v>
      </c>
      <c r="O644" s="290">
        <v>4.05</v>
      </c>
      <c r="P644" s="291" t="s">
        <v>433</v>
      </c>
      <c r="Q644" s="288">
        <v>1.07</v>
      </c>
      <c r="R644" s="289">
        <f>O644*dien*Q644</f>
        <v>4935.8565</v>
      </c>
      <c r="S644" s="292" t="s">
        <v>295</v>
      </c>
      <c r="T644" s="296">
        <f>'Nhan cong'!M$38</f>
        <v>125620.38461538461</v>
      </c>
      <c r="U644" s="250">
        <f>ROUND((J644+L644+N644+R644+T644),0)</f>
        <v>142225</v>
      </c>
      <c r="V644" s="250">
        <v>159814</v>
      </c>
      <c r="W644" s="250">
        <v>141868</v>
      </c>
      <c r="X644" s="250">
        <v>115548</v>
      </c>
      <c r="Y644" s="293">
        <v>11200</v>
      </c>
      <c r="Z644" s="294"/>
      <c r="AA644" s="251"/>
      <c r="AB644" s="251"/>
    </row>
    <row r="645" spans="1:28" s="295" customFormat="1" ht="15.75">
      <c r="A645" s="297"/>
      <c r="B645" s="284"/>
      <c r="C645" s="298"/>
      <c r="D645" s="284"/>
      <c r="E645" s="272"/>
      <c r="F645" s="149" t="s">
        <v>3108</v>
      </c>
      <c r="G645" s="284"/>
      <c r="H645" s="284"/>
      <c r="I645" s="284"/>
      <c r="J645" s="299"/>
      <c r="K645" s="301"/>
      <c r="L645" s="289"/>
      <c r="M645" s="301"/>
      <c r="N645" s="300"/>
      <c r="O645" s="302"/>
      <c r="P645" s="272"/>
      <c r="Q645" s="288"/>
      <c r="R645" s="300"/>
      <c r="S645" s="284"/>
      <c r="T645" s="296"/>
      <c r="U645" s="250"/>
      <c r="V645" s="250"/>
      <c r="W645" s="250"/>
      <c r="X645" s="250"/>
      <c r="Y645" s="293"/>
      <c r="Z645" s="385"/>
      <c r="AA645" s="251"/>
      <c r="AB645" s="251"/>
    </row>
    <row r="646" spans="1:28" s="295" customFormat="1" ht="15.75">
      <c r="A646" s="284">
        <v>532</v>
      </c>
      <c r="B646" s="284" t="s">
        <v>723</v>
      </c>
      <c r="C646" s="284" t="s">
        <v>3109</v>
      </c>
      <c r="D646" s="284" t="s">
        <v>3549</v>
      </c>
      <c r="E646" s="285" t="s">
        <v>3110</v>
      </c>
      <c r="F646" s="286" t="s">
        <v>3110</v>
      </c>
      <c r="G646" s="284">
        <v>180</v>
      </c>
      <c r="H646" s="284">
        <v>25</v>
      </c>
      <c r="I646" s="284">
        <v>0.95</v>
      </c>
      <c r="J646" s="287">
        <f>Y646*H646%*I646/G646*1000</f>
        <v>150416.66666666666</v>
      </c>
      <c r="K646" s="301">
        <v>6.5</v>
      </c>
      <c r="L646" s="289">
        <f>(Y646*K646%)/G646*1000</f>
        <v>41166.666666666664</v>
      </c>
      <c r="M646" s="301">
        <v>5</v>
      </c>
      <c r="N646" s="289">
        <f>(Y646*M646%)/G646*1000</f>
        <v>31666.666666666668</v>
      </c>
      <c r="O646" s="302">
        <v>5.6</v>
      </c>
      <c r="P646" s="272" t="s">
        <v>433</v>
      </c>
      <c r="Q646" s="288">
        <v>1.07</v>
      </c>
      <c r="R646" s="289">
        <f>O646*dien*Q646</f>
        <v>6824.888</v>
      </c>
      <c r="S646" s="284" t="s">
        <v>1591</v>
      </c>
      <c r="T646" s="296">
        <f>Nii4</f>
        <v>145974.23076923078</v>
      </c>
      <c r="U646" s="250">
        <f>ROUND((J646+L646+N646+R646+T646),0)</f>
        <v>376049</v>
      </c>
      <c r="V646" s="250">
        <v>396903</v>
      </c>
      <c r="W646" s="250">
        <v>376049</v>
      </c>
      <c r="X646" s="250">
        <v>345464</v>
      </c>
      <c r="Y646" s="293">
        <v>114000</v>
      </c>
      <c r="Z646" s="294"/>
      <c r="AA646" s="251"/>
      <c r="AB646" s="251"/>
    </row>
    <row r="647" spans="1:28" s="295" customFormat="1" ht="15.75">
      <c r="A647" s="297"/>
      <c r="B647" s="284"/>
      <c r="C647" s="298"/>
      <c r="D647" s="284"/>
      <c r="E647" s="272"/>
      <c r="F647" s="151" t="s">
        <v>3111</v>
      </c>
      <c r="G647" s="284"/>
      <c r="H647" s="284"/>
      <c r="I647" s="284"/>
      <c r="J647" s="299"/>
      <c r="K647" s="288"/>
      <c r="L647" s="289"/>
      <c r="M647" s="288"/>
      <c r="N647" s="300"/>
      <c r="O647" s="290"/>
      <c r="P647" s="291"/>
      <c r="Q647" s="288"/>
      <c r="R647" s="300"/>
      <c r="S647" s="292"/>
      <c r="T647" s="296"/>
      <c r="U647" s="250"/>
      <c r="V647" s="250"/>
      <c r="W647" s="250"/>
      <c r="X647" s="250"/>
      <c r="Y647" s="293"/>
      <c r="Z647" s="385"/>
      <c r="AA647" s="251"/>
      <c r="AB647" s="251"/>
    </row>
    <row r="648" spans="1:28" s="295" customFormat="1" ht="15.75">
      <c r="A648" s="284">
        <v>533</v>
      </c>
      <c r="B648" s="284">
        <v>0</v>
      </c>
      <c r="C648" s="284" t="s">
        <v>3112</v>
      </c>
      <c r="D648" s="284" t="s">
        <v>3550</v>
      </c>
      <c r="E648" s="285" t="s">
        <v>2021</v>
      </c>
      <c r="F648" s="286" t="s">
        <v>3113</v>
      </c>
      <c r="G648" s="284">
        <v>160</v>
      </c>
      <c r="H648" s="284">
        <v>30</v>
      </c>
      <c r="I648" s="284">
        <v>1</v>
      </c>
      <c r="J648" s="287">
        <f>Y648*H648%*I648/G648*1000</f>
        <v>14250</v>
      </c>
      <c r="K648" s="288">
        <v>10.5</v>
      </c>
      <c r="L648" s="289">
        <f>(Y648*K648%)/G648*1000</f>
        <v>4987.5</v>
      </c>
      <c r="M648" s="288">
        <v>4</v>
      </c>
      <c r="N648" s="289">
        <f>(Y648*M648%)/G648*1000</f>
        <v>1900</v>
      </c>
      <c r="O648" s="290">
        <v>2.73</v>
      </c>
      <c r="P648" s="291" t="s">
        <v>433</v>
      </c>
      <c r="Q648" s="288">
        <v>1.07</v>
      </c>
      <c r="R648" s="289">
        <f>O648*dien*Q648</f>
        <v>3327.1329</v>
      </c>
      <c r="S648" s="292" t="s">
        <v>295</v>
      </c>
      <c r="T648" s="296">
        <f>'Nhan cong'!M$38</f>
        <v>125620.38461538461</v>
      </c>
      <c r="U648" s="250">
        <f>ROUND((J648+L648+N648+R648+T648),0)</f>
        <v>150085</v>
      </c>
      <c r="V648" s="250">
        <v>168031</v>
      </c>
      <c r="W648" s="250">
        <v>150085</v>
      </c>
      <c r="X648" s="250">
        <v>123765</v>
      </c>
      <c r="Y648" s="293">
        <v>7600</v>
      </c>
      <c r="Z648" s="294"/>
      <c r="AA648" s="251"/>
      <c r="AB648" s="251"/>
    </row>
    <row r="649" spans="1:28" s="295" customFormat="1" ht="15.75">
      <c r="A649" s="297"/>
      <c r="B649" s="284"/>
      <c r="C649" s="298"/>
      <c r="D649" s="284"/>
      <c r="E649" s="272"/>
      <c r="F649" s="151" t="s">
        <v>3114</v>
      </c>
      <c r="G649" s="284"/>
      <c r="H649" s="284"/>
      <c r="I649" s="284"/>
      <c r="J649" s="299"/>
      <c r="K649" s="288"/>
      <c r="L649" s="289"/>
      <c r="M649" s="288"/>
      <c r="N649" s="300"/>
      <c r="O649" s="290"/>
      <c r="P649" s="291"/>
      <c r="Q649" s="288"/>
      <c r="R649" s="300"/>
      <c r="S649" s="292"/>
      <c r="T649" s="296"/>
      <c r="U649" s="250"/>
      <c r="V649" s="250"/>
      <c r="W649" s="250"/>
      <c r="X649" s="250"/>
      <c r="Y649" s="293"/>
      <c r="Z649" s="385"/>
      <c r="AA649" s="251"/>
      <c r="AB649" s="251"/>
    </row>
    <row r="650" spans="1:28" s="295" customFormat="1" ht="15.75">
      <c r="A650" s="284">
        <v>534</v>
      </c>
      <c r="B650" s="284">
        <v>0</v>
      </c>
      <c r="C650" s="284" t="s">
        <v>3115</v>
      </c>
      <c r="D650" s="284" t="s">
        <v>3551</v>
      </c>
      <c r="E650" s="285" t="s">
        <v>2022</v>
      </c>
      <c r="F650" s="286" t="s">
        <v>3116</v>
      </c>
      <c r="G650" s="284">
        <v>160</v>
      </c>
      <c r="H650" s="284">
        <v>30</v>
      </c>
      <c r="I650" s="284">
        <v>1</v>
      </c>
      <c r="J650" s="287">
        <f>Y650*H650%*I650/G650*1000</f>
        <v>8625</v>
      </c>
      <c r="K650" s="288">
        <v>10.5</v>
      </c>
      <c r="L650" s="289">
        <f>(Y650*K650%)/G650*1000</f>
        <v>3018.75</v>
      </c>
      <c r="M650" s="288">
        <v>4</v>
      </c>
      <c r="N650" s="289">
        <f>(Y650*M650%)/G650*1000</f>
        <v>1150</v>
      </c>
      <c r="O650" s="290">
        <v>2.16</v>
      </c>
      <c r="P650" s="291" t="s">
        <v>433</v>
      </c>
      <c r="Q650" s="288">
        <v>1.07</v>
      </c>
      <c r="R650" s="289">
        <f>O650*dien*Q650</f>
        <v>2632.4568000000004</v>
      </c>
      <c r="S650" s="292" t="s">
        <v>1591</v>
      </c>
      <c r="T650" s="289">
        <f>'Nhan cong'!$M$42</f>
        <v>145974.23076923078</v>
      </c>
      <c r="U650" s="250">
        <f>ROUND((J650+L650+N650+R650+T650),0)</f>
        <v>161400</v>
      </c>
      <c r="V650" s="250">
        <v>182254</v>
      </c>
      <c r="W650" s="250">
        <v>161400</v>
      </c>
      <c r="X650" s="250">
        <v>130815</v>
      </c>
      <c r="Y650" s="293">
        <v>4600</v>
      </c>
      <c r="Z650" s="294"/>
      <c r="AA650" s="251"/>
      <c r="AB650" s="251"/>
    </row>
    <row r="651" spans="1:28" s="295" customFormat="1" ht="15.75">
      <c r="A651" s="297"/>
      <c r="B651" s="284"/>
      <c r="C651" s="298"/>
      <c r="D651" s="284"/>
      <c r="E651" s="272"/>
      <c r="F651" s="151" t="s">
        <v>3117</v>
      </c>
      <c r="G651" s="284"/>
      <c r="H651" s="284"/>
      <c r="I651" s="284"/>
      <c r="J651" s="299"/>
      <c r="K651" s="288"/>
      <c r="L651" s="289"/>
      <c r="M651" s="288"/>
      <c r="N651" s="300"/>
      <c r="O651" s="290"/>
      <c r="P651" s="291"/>
      <c r="Q651" s="288"/>
      <c r="R651" s="300"/>
      <c r="S651" s="292"/>
      <c r="T651" s="289"/>
      <c r="U651" s="250"/>
      <c r="V651" s="250"/>
      <c r="W651" s="250"/>
      <c r="X651" s="250"/>
      <c r="Y651" s="293"/>
      <c r="Z651" s="385"/>
      <c r="AA651" s="251"/>
      <c r="AB651" s="251"/>
    </row>
    <row r="652" spans="1:28" s="295" customFormat="1" ht="47.25">
      <c r="A652" s="284">
        <v>535</v>
      </c>
      <c r="B652" s="284">
        <v>0</v>
      </c>
      <c r="C652" s="284" t="s">
        <v>3118</v>
      </c>
      <c r="D652" s="284" t="s">
        <v>3552</v>
      </c>
      <c r="E652" s="285" t="s">
        <v>2023</v>
      </c>
      <c r="F652" s="286" t="s">
        <v>3119</v>
      </c>
      <c r="G652" s="284">
        <v>180</v>
      </c>
      <c r="H652" s="284">
        <v>20</v>
      </c>
      <c r="I652" s="284">
        <v>1</v>
      </c>
      <c r="J652" s="287">
        <f>Y652*H652%*I652/G652*1000</f>
        <v>13055.555555555555</v>
      </c>
      <c r="K652" s="288">
        <v>8.5</v>
      </c>
      <c r="L652" s="289">
        <f>(Y652*K652%)/G652*1000</f>
        <v>5548.611111111111</v>
      </c>
      <c r="M652" s="288">
        <v>5</v>
      </c>
      <c r="N652" s="289">
        <f>(Y652*M652%)/G652*1000</f>
        <v>3263.8888888888887</v>
      </c>
      <c r="O652" s="290">
        <v>4.68</v>
      </c>
      <c r="P652" s="291" t="s">
        <v>433</v>
      </c>
      <c r="Q652" s="288">
        <v>1.07</v>
      </c>
      <c r="R652" s="289">
        <f>O652*dien*Q652</f>
        <v>5703.6564</v>
      </c>
      <c r="S652" s="292" t="s">
        <v>295</v>
      </c>
      <c r="T652" s="296">
        <f>'Nhan cong'!M$38</f>
        <v>125620.38461538461</v>
      </c>
      <c r="U652" s="250">
        <f>ROUND((J652+L652+N652+R652+T652),0)</f>
        <v>153192</v>
      </c>
      <c r="V652" s="250">
        <v>170485</v>
      </c>
      <c r="W652" s="250">
        <v>152539</v>
      </c>
      <c r="X652" s="250">
        <v>126219</v>
      </c>
      <c r="Y652" s="293">
        <v>11750</v>
      </c>
      <c r="Z652" s="316"/>
      <c r="AA652" s="251"/>
      <c r="AB652" s="251"/>
    </row>
    <row r="653" spans="1:28" s="295" customFormat="1" ht="63">
      <c r="A653" s="284">
        <v>536</v>
      </c>
      <c r="B653" s="284">
        <v>0</v>
      </c>
      <c r="C653" s="284" t="s">
        <v>3120</v>
      </c>
      <c r="D653" s="284" t="s">
        <v>3553</v>
      </c>
      <c r="E653" s="285" t="s">
        <v>2024</v>
      </c>
      <c r="F653" s="286" t="s">
        <v>3121</v>
      </c>
      <c r="G653" s="284">
        <v>180</v>
      </c>
      <c r="H653" s="284">
        <v>20</v>
      </c>
      <c r="I653" s="284">
        <v>0.95</v>
      </c>
      <c r="J653" s="287">
        <f>Y653*H653%*I653/G653*1000</f>
        <v>24383.333333333332</v>
      </c>
      <c r="K653" s="288">
        <v>8.5</v>
      </c>
      <c r="L653" s="289">
        <f>(Y653*K653%)/G653*1000</f>
        <v>10908.333333333336</v>
      </c>
      <c r="M653" s="288">
        <v>5</v>
      </c>
      <c r="N653" s="289">
        <f>(Y653*M653%)/G653*1000</f>
        <v>6416.666666666667</v>
      </c>
      <c r="O653" s="290"/>
      <c r="P653" s="291"/>
      <c r="Q653" s="288"/>
      <c r="R653" s="300"/>
      <c r="S653" s="292" t="s">
        <v>295</v>
      </c>
      <c r="T653" s="296">
        <f>'Nhan cong'!M$38</f>
        <v>125620.38461538461</v>
      </c>
      <c r="U653" s="250">
        <f>ROUND((J653+L653+N653+R653+T653),0)-1</f>
        <v>167328</v>
      </c>
      <c r="V653" s="250">
        <v>185274</v>
      </c>
      <c r="W653" s="250">
        <v>167328</v>
      </c>
      <c r="X653" s="250">
        <v>141008</v>
      </c>
      <c r="Y653" s="293">
        <v>23100</v>
      </c>
      <c r="Z653" s="316"/>
      <c r="AA653" s="251"/>
      <c r="AB653" s="251"/>
    </row>
    <row r="654" spans="1:28" s="295" customFormat="1" ht="63">
      <c r="A654" s="297">
        <v>537</v>
      </c>
      <c r="B654" s="284"/>
      <c r="C654" s="298" t="s">
        <v>3122</v>
      </c>
      <c r="D654" s="284"/>
      <c r="E654" s="272"/>
      <c r="F654" s="286" t="s">
        <v>3123</v>
      </c>
      <c r="G654" s="284">
        <v>180</v>
      </c>
      <c r="H654" s="284">
        <v>20</v>
      </c>
      <c r="I654" s="284">
        <v>0.95</v>
      </c>
      <c r="J654" s="287">
        <f>Y654*H654%*I654/G654*1000</f>
        <v>116744.44444444444</v>
      </c>
      <c r="K654" s="288">
        <v>6.5</v>
      </c>
      <c r="L654" s="289">
        <f>(Y654*K654%)/G654*1000</f>
        <v>39938.88888888889</v>
      </c>
      <c r="M654" s="288">
        <v>5</v>
      </c>
      <c r="N654" s="289">
        <f>(Y654*M654%)/G654*1000</f>
        <v>30722.222222222223</v>
      </c>
      <c r="O654" s="290"/>
      <c r="P654" s="291"/>
      <c r="Q654" s="288"/>
      <c r="R654" s="300"/>
      <c r="S654" s="292" t="s">
        <v>295</v>
      </c>
      <c r="T654" s="296">
        <f>'Nhan cong'!M$38</f>
        <v>125620.38461538461</v>
      </c>
      <c r="U654" s="250">
        <f>ROUND((J654+L654+N654+R654+T654),0)</f>
        <v>313026</v>
      </c>
      <c r="V654" s="250">
        <v>330972</v>
      </c>
      <c r="W654" s="250">
        <v>313026</v>
      </c>
      <c r="X654" s="250">
        <v>286706</v>
      </c>
      <c r="Y654" s="293">
        <v>110600</v>
      </c>
      <c r="Z654" s="317"/>
      <c r="AA654" s="251"/>
      <c r="AB654" s="251"/>
    </row>
    <row r="655" spans="1:28" s="295" customFormat="1" ht="63">
      <c r="A655" s="297">
        <v>538</v>
      </c>
      <c r="B655" s="284">
        <v>0</v>
      </c>
      <c r="C655" s="298" t="s">
        <v>3124</v>
      </c>
      <c r="D655" s="284" t="s">
        <v>3553</v>
      </c>
      <c r="E655" s="272" t="s">
        <v>3125</v>
      </c>
      <c r="F655" s="286" t="s">
        <v>3125</v>
      </c>
      <c r="G655" s="284">
        <v>180</v>
      </c>
      <c r="H655" s="284">
        <v>20</v>
      </c>
      <c r="I655" s="284">
        <v>0.95</v>
      </c>
      <c r="J655" s="287">
        <f>Y655*H655%*I655/G655*1000</f>
        <v>5647.222222222222</v>
      </c>
      <c r="K655" s="288">
        <v>8.5</v>
      </c>
      <c r="L655" s="289">
        <f>(Y655*K655%)/G655*1000</f>
        <v>2526.388888888889</v>
      </c>
      <c r="M655" s="288">
        <v>5</v>
      </c>
      <c r="N655" s="289">
        <f>(Y655*M655%)/G655*1000</f>
        <v>1486.111111111111</v>
      </c>
      <c r="O655" s="290"/>
      <c r="P655" s="291"/>
      <c r="Q655" s="288"/>
      <c r="R655" s="300"/>
      <c r="S655" s="292" t="s">
        <v>295</v>
      </c>
      <c r="T655" s="296">
        <f>'Nhan cong'!M$38</f>
        <v>125620.38461538461</v>
      </c>
      <c r="U655" s="250">
        <f>ROUND((J655+L655+N655+R655+T655),0)+1</f>
        <v>135281</v>
      </c>
      <c r="V655" s="250">
        <v>153523</v>
      </c>
      <c r="W655" s="250">
        <v>135577</v>
      </c>
      <c r="X655" s="250">
        <v>109257</v>
      </c>
      <c r="Y655" s="293">
        <v>5350</v>
      </c>
      <c r="Z655" s="317"/>
      <c r="AA655" s="251"/>
      <c r="AB655" s="251"/>
    </row>
    <row r="656" spans="1:28" s="295" customFormat="1" ht="15.75">
      <c r="A656" s="297"/>
      <c r="B656" s="284"/>
      <c r="C656" s="298"/>
      <c r="D656" s="284"/>
      <c r="E656" s="272"/>
      <c r="F656" s="151" t="s">
        <v>3126</v>
      </c>
      <c r="G656" s="284"/>
      <c r="H656" s="284"/>
      <c r="I656" s="284"/>
      <c r="J656" s="299"/>
      <c r="K656" s="288"/>
      <c r="L656" s="289"/>
      <c r="M656" s="288"/>
      <c r="N656" s="300"/>
      <c r="O656" s="290"/>
      <c r="P656" s="291"/>
      <c r="Q656" s="288"/>
      <c r="R656" s="300"/>
      <c r="S656" s="292"/>
      <c r="T656" s="296"/>
      <c r="U656" s="250"/>
      <c r="V656" s="250"/>
      <c r="W656" s="250"/>
      <c r="X656" s="250"/>
      <c r="Y656" s="293"/>
      <c r="Z656" s="385"/>
      <c r="AA656" s="251"/>
      <c r="AB656" s="251"/>
    </row>
    <row r="657" spans="1:28" s="295" customFormat="1" ht="15.75">
      <c r="A657" s="284">
        <v>539</v>
      </c>
      <c r="B657" s="284" t="s">
        <v>728</v>
      </c>
      <c r="C657" s="284" t="s">
        <v>1311</v>
      </c>
      <c r="D657" s="284" t="s">
        <v>3554</v>
      </c>
      <c r="E657" s="285" t="s">
        <v>2025</v>
      </c>
      <c r="F657" s="286" t="s">
        <v>1312</v>
      </c>
      <c r="G657" s="284">
        <v>240</v>
      </c>
      <c r="H657" s="284">
        <v>18</v>
      </c>
      <c r="I657" s="284">
        <v>0.95</v>
      </c>
      <c r="J657" s="287">
        <f>Y657*H657%*I657/G657*1000</f>
        <v>684569.9999999999</v>
      </c>
      <c r="K657" s="288">
        <v>5.26</v>
      </c>
      <c r="L657" s="289">
        <f>(Y657*K657%)/G657*1000</f>
        <v>210575.33333333334</v>
      </c>
      <c r="M657" s="288">
        <v>5</v>
      </c>
      <c r="N657" s="289">
        <f>(Y657*M657%)/G657*1000</f>
        <v>200166.66666666666</v>
      </c>
      <c r="O657" s="290"/>
      <c r="P657" s="291"/>
      <c r="Q657" s="288"/>
      <c r="R657" s="300"/>
      <c r="S657" s="292" t="s">
        <v>1183</v>
      </c>
      <c r="T657" s="296">
        <f>'Nhan cong'!M$38+'Nhan cong'!M$42</f>
        <v>271594.6153846154</v>
      </c>
      <c r="U657" s="250">
        <f>ROUND((J657+L657+N657+R657+T657),0)</f>
        <v>1366907</v>
      </c>
      <c r="V657" s="250">
        <v>1405706</v>
      </c>
      <c r="W657" s="250">
        <v>1366907</v>
      </c>
      <c r="X657" s="250">
        <v>1310001</v>
      </c>
      <c r="Y657" s="293">
        <v>960800</v>
      </c>
      <c r="Z657" s="294"/>
      <c r="AA657" s="251"/>
      <c r="AB657" s="251"/>
    </row>
    <row r="658" spans="1:28" s="295" customFormat="1" ht="15.75">
      <c r="A658" s="297">
        <v>540</v>
      </c>
      <c r="B658" s="284" t="s">
        <v>727</v>
      </c>
      <c r="C658" s="298" t="s">
        <v>1313</v>
      </c>
      <c r="D658" s="284" t="s">
        <v>3555</v>
      </c>
      <c r="E658" s="272" t="s">
        <v>3163</v>
      </c>
      <c r="F658" s="286" t="s">
        <v>1314</v>
      </c>
      <c r="G658" s="284">
        <v>240</v>
      </c>
      <c r="H658" s="284">
        <v>18</v>
      </c>
      <c r="I658" s="284">
        <v>0.95</v>
      </c>
      <c r="J658" s="287">
        <f>Y658*H658%*I658/G658*1000</f>
        <v>855569.9999999999</v>
      </c>
      <c r="K658" s="288">
        <v>5.26</v>
      </c>
      <c r="L658" s="289">
        <f>(Y658*K658%)/G658*1000</f>
        <v>263175.3333333334</v>
      </c>
      <c r="M658" s="288">
        <v>5</v>
      </c>
      <c r="N658" s="289">
        <f>(Y658*M658%)/G658*1000</f>
        <v>250166.66666666666</v>
      </c>
      <c r="O658" s="290"/>
      <c r="P658" s="291"/>
      <c r="Q658" s="288"/>
      <c r="R658" s="300"/>
      <c r="S658" s="292" t="s">
        <v>1183</v>
      </c>
      <c r="T658" s="296">
        <f>'Nhan cong'!M$38+'Nhan cong'!M$42</f>
        <v>271594.6153846154</v>
      </c>
      <c r="U658" s="250">
        <f>ROUND((J658+L658+N658+R658+T658),0)</f>
        <v>1640507</v>
      </c>
      <c r="V658" s="250">
        <v>1679306</v>
      </c>
      <c r="W658" s="250">
        <v>1640507</v>
      </c>
      <c r="X658" s="250">
        <v>1583601</v>
      </c>
      <c r="Y658" s="293">
        <v>1200800</v>
      </c>
      <c r="Z658" s="294"/>
      <c r="AA658" s="251"/>
      <c r="AB658" s="251"/>
    </row>
    <row r="659" spans="1:28" s="295" customFormat="1" ht="15.75">
      <c r="A659" s="297"/>
      <c r="B659" s="284"/>
      <c r="C659" s="298"/>
      <c r="D659" s="284"/>
      <c r="E659" s="272"/>
      <c r="F659" s="151" t="s">
        <v>1315</v>
      </c>
      <c r="G659" s="284"/>
      <c r="H659" s="284"/>
      <c r="I659" s="284"/>
      <c r="J659" s="299"/>
      <c r="K659" s="288"/>
      <c r="L659" s="289"/>
      <c r="M659" s="288"/>
      <c r="N659" s="300"/>
      <c r="O659" s="290"/>
      <c r="P659" s="291"/>
      <c r="Q659" s="288"/>
      <c r="R659" s="300"/>
      <c r="S659" s="292"/>
      <c r="T659" s="296"/>
      <c r="U659" s="250"/>
      <c r="V659" s="250"/>
      <c r="W659" s="250"/>
      <c r="X659" s="250"/>
      <c r="Y659" s="293"/>
      <c r="Z659" s="385"/>
      <c r="AA659" s="251"/>
      <c r="AB659" s="251"/>
    </row>
    <row r="660" spans="1:28" s="295" customFormat="1" ht="15.75">
      <c r="A660" s="284">
        <v>541</v>
      </c>
      <c r="B660" s="284" t="s">
        <v>729</v>
      </c>
      <c r="C660" s="284" t="s">
        <v>1316</v>
      </c>
      <c r="D660" s="284" t="s">
        <v>3556</v>
      </c>
      <c r="E660" s="285" t="s">
        <v>2026</v>
      </c>
      <c r="F660" s="286" t="s">
        <v>1317</v>
      </c>
      <c r="G660" s="284">
        <v>250</v>
      </c>
      <c r="H660" s="284">
        <v>15</v>
      </c>
      <c r="I660" s="284">
        <v>0.95</v>
      </c>
      <c r="J660" s="287">
        <f>Y660*H660%*I660/G660*1000</f>
        <v>879225</v>
      </c>
      <c r="K660" s="288">
        <v>4.3</v>
      </c>
      <c r="L660" s="289">
        <f>(Y660*K660%)/G660*1000</f>
        <v>265310</v>
      </c>
      <c r="M660" s="288">
        <v>5</v>
      </c>
      <c r="N660" s="289">
        <f>(Y660*M660%)/G660*1000</f>
        <v>308500</v>
      </c>
      <c r="O660" s="290">
        <v>184.8</v>
      </c>
      <c r="P660" s="291" t="s">
        <v>433</v>
      </c>
      <c r="Q660" s="288">
        <v>1.07</v>
      </c>
      <c r="R660" s="289">
        <f>O660*dien*Q660</f>
        <v>225221.30400000003</v>
      </c>
      <c r="S660" s="292" t="s">
        <v>1183</v>
      </c>
      <c r="T660" s="296">
        <f>'Nhan cong'!M$38+'Nhan cong'!M$42</f>
        <v>271594.6153846154</v>
      </c>
      <c r="U660" s="250">
        <f>ROUND((J660+L660+N660+R660+T660),0)+1</f>
        <v>1949852</v>
      </c>
      <c r="V660" s="250">
        <v>1988650</v>
      </c>
      <c r="W660" s="250">
        <v>1949852</v>
      </c>
      <c r="X660" s="250">
        <v>1892945</v>
      </c>
      <c r="Y660" s="293">
        <v>1542500</v>
      </c>
      <c r="Z660" s="294"/>
      <c r="AA660" s="251"/>
      <c r="AB660" s="251"/>
    </row>
    <row r="661" spans="1:28" s="295" customFormat="1" ht="15.75">
      <c r="A661" s="297"/>
      <c r="B661" s="284"/>
      <c r="C661" s="298"/>
      <c r="D661" s="284"/>
      <c r="E661" s="272"/>
      <c r="F661" s="151" t="s">
        <v>1318</v>
      </c>
      <c r="G661" s="284"/>
      <c r="H661" s="284"/>
      <c r="I661" s="284"/>
      <c r="J661" s="299"/>
      <c r="K661" s="288"/>
      <c r="L661" s="289"/>
      <c r="M661" s="288"/>
      <c r="N661" s="300"/>
      <c r="O661" s="290"/>
      <c r="P661" s="291"/>
      <c r="Q661" s="288"/>
      <c r="R661" s="300"/>
      <c r="S661" s="292"/>
      <c r="T661" s="296"/>
      <c r="U661" s="250"/>
      <c r="V661" s="250"/>
      <c r="W661" s="250"/>
      <c r="X661" s="250"/>
      <c r="Y661" s="293"/>
      <c r="Z661" s="385"/>
      <c r="AA661" s="251"/>
      <c r="AB661" s="251"/>
    </row>
    <row r="662" spans="1:28" s="295" customFormat="1" ht="31.5">
      <c r="A662" s="284">
        <v>542</v>
      </c>
      <c r="B662" s="284">
        <v>0</v>
      </c>
      <c r="C662" s="284" t="s">
        <v>1319</v>
      </c>
      <c r="D662" s="284" t="s">
        <v>3557</v>
      </c>
      <c r="E662" s="285" t="s">
        <v>2027</v>
      </c>
      <c r="F662" s="286" t="s">
        <v>1320</v>
      </c>
      <c r="G662" s="284">
        <v>250</v>
      </c>
      <c r="H662" s="284">
        <v>16</v>
      </c>
      <c r="I662" s="284">
        <v>0.95</v>
      </c>
      <c r="J662" s="287">
        <f>Y662*H662%*I662/G662*1000</f>
        <v>212800</v>
      </c>
      <c r="K662" s="288">
        <v>6.72</v>
      </c>
      <c r="L662" s="289">
        <f>(Y662*K662%)/G662*1000</f>
        <v>94080</v>
      </c>
      <c r="M662" s="288">
        <v>5</v>
      </c>
      <c r="N662" s="289">
        <f>(Y662*M662%)/G662*1000</f>
        <v>70000</v>
      </c>
      <c r="O662" s="290">
        <v>54</v>
      </c>
      <c r="P662" s="291" t="s">
        <v>433</v>
      </c>
      <c r="Q662" s="288">
        <v>1.07</v>
      </c>
      <c r="R662" s="289">
        <f>O662*dien*Q662</f>
        <v>65811.42</v>
      </c>
      <c r="S662" s="292" t="s">
        <v>1321</v>
      </c>
      <c r="T662" s="296">
        <f>'Nhan cong'!M$38*2+'Nhan cong'!M$42</f>
        <v>397215</v>
      </c>
      <c r="U662" s="250">
        <f>ROUND((J662+L662+N662+R662+T662),0)</f>
        <v>839906</v>
      </c>
      <c r="V662" s="250">
        <v>896651</v>
      </c>
      <c r="W662" s="250">
        <v>839906</v>
      </c>
      <c r="X662" s="250">
        <v>756680</v>
      </c>
      <c r="Y662" s="293">
        <v>350000</v>
      </c>
      <c r="Z662" s="294"/>
      <c r="AA662" s="251"/>
      <c r="AB662" s="251"/>
    </row>
    <row r="663" spans="1:28" s="295" customFormat="1" ht="15.75">
      <c r="A663" s="297"/>
      <c r="B663" s="284"/>
      <c r="C663" s="298"/>
      <c r="D663" s="284"/>
      <c r="E663" s="272"/>
      <c r="F663" s="151" t="s">
        <v>1322</v>
      </c>
      <c r="G663" s="284"/>
      <c r="H663" s="284"/>
      <c r="I663" s="284"/>
      <c r="J663" s="299"/>
      <c r="K663" s="288"/>
      <c r="L663" s="289"/>
      <c r="M663" s="288"/>
      <c r="N663" s="300"/>
      <c r="O663" s="290"/>
      <c r="P663" s="291"/>
      <c r="Q663" s="288"/>
      <c r="R663" s="300"/>
      <c r="S663" s="292"/>
      <c r="T663" s="296"/>
      <c r="U663" s="250"/>
      <c r="V663" s="250"/>
      <c r="W663" s="250"/>
      <c r="X663" s="250"/>
      <c r="Y663" s="293"/>
      <c r="Z663" s="385"/>
      <c r="AA663" s="251"/>
      <c r="AB663" s="251"/>
    </row>
    <row r="664" spans="1:28" s="295" customFormat="1" ht="31.5">
      <c r="A664" s="284">
        <v>543</v>
      </c>
      <c r="B664" s="284" t="s">
        <v>733</v>
      </c>
      <c r="C664" s="284" t="s">
        <v>1323</v>
      </c>
      <c r="D664" s="284" t="s">
        <v>3558</v>
      </c>
      <c r="E664" s="285" t="s">
        <v>2028</v>
      </c>
      <c r="F664" s="286" t="s">
        <v>1324</v>
      </c>
      <c r="G664" s="284">
        <v>250</v>
      </c>
      <c r="H664" s="284">
        <v>15</v>
      </c>
      <c r="I664" s="284">
        <v>0.95</v>
      </c>
      <c r="J664" s="287">
        <f>Y664*H664%*I664/G664*1000</f>
        <v>980742</v>
      </c>
      <c r="K664" s="288">
        <v>4.8</v>
      </c>
      <c r="L664" s="289">
        <f>(Y664*K664%)/G664*1000</f>
        <v>330355.2</v>
      </c>
      <c r="M664" s="288">
        <v>5</v>
      </c>
      <c r="N664" s="289">
        <f>(Y664*M664%)/G664*1000</f>
        <v>344120</v>
      </c>
      <c r="O664" s="290">
        <v>243</v>
      </c>
      <c r="P664" s="291" t="s">
        <v>433</v>
      </c>
      <c r="Q664" s="288">
        <v>1.07</v>
      </c>
      <c r="R664" s="289">
        <f>O664*dien*Q664</f>
        <v>296151.39</v>
      </c>
      <c r="S664" s="292" t="s">
        <v>1325</v>
      </c>
      <c r="T664" s="296">
        <f>'Nhan cong'!M$38+'Nhan cong'!M$42</f>
        <v>271594.6153846154</v>
      </c>
      <c r="U664" s="250">
        <f>ROUND((J664+L664+N664+R664+T664),0)+1</f>
        <v>2222964</v>
      </c>
      <c r="V664" s="250">
        <v>2261763</v>
      </c>
      <c r="W664" s="250">
        <v>2222964</v>
      </c>
      <c r="X664" s="250">
        <v>2166058</v>
      </c>
      <c r="Y664" s="293">
        <v>1720600</v>
      </c>
      <c r="Z664" s="294"/>
      <c r="AA664" s="251"/>
      <c r="AB664" s="251"/>
    </row>
    <row r="665" spans="1:28" s="295" customFormat="1" ht="15.75">
      <c r="A665" s="297"/>
      <c r="B665" s="284"/>
      <c r="C665" s="298"/>
      <c r="D665" s="284"/>
      <c r="E665" s="272"/>
      <c r="F665" s="151" t="s">
        <v>1326</v>
      </c>
      <c r="G665" s="284"/>
      <c r="H665" s="284"/>
      <c r="I665" s="284"/>
      <c r="J665" s="299"/>
      <c r="K665" s="288"/>
      <c r="L665" s="289"/>
      <c r="M665" s="288"/>
      <c r="N665" s="300"/>
      <c r="O665" s="290"/>
      <c r="P665" s="291"/>
      <c r="Q665" s="288"/>
      <c r="R665" s="300"/>
      <c r="S665" s="292"/>
      <c r="T665" s="296"/>
      <c r="U665" s="250"/>
      <c r="V665" s="250"/>
      <c r="W665" s="250"/>
      <c r="X665" s="250"/>
      <c r="Y665" s="293"/>
      <c r="Z665" s="385"/>
      <c r="AA665" s="251"/>
      <c r="AB665" s="251"/>
    </row>
    <row r="666" spans="1:28" s="295" customFormat="1" ht="31.5">
      <c r="A666" s="284">
        <v>544</v>
      </c>
      <c r="B666" s="284" t="s">
        <v>732</v>
      </c>
      <c r="C666" s="284" t="s">
        <v>1327</v>
      </c>
      <c r="D666" s="284" t="s">
        <v>3559</v>
      </c>
      <c r="E666" s="285" t="s">
        <v>2029</v>
      </c>
      <c r="F666" s="286" t="s">
        <v>1328</v>
      </c>
      <c r="G666" s="284">
        <v>250</v>
      </c>
      <c r="H666" s="284">
        <v>15</v>
      </c>
      <c r="I666" s="284">
        <v>0.95</v>
      </c>
      <c r="J666" s="287">
        <f aca="true" t="shared" si="155" ref="J666:J671">Y666*H666%*I666/G666*1000</f>
        <v>1661094</v>
      </c>
      <c r="K666" s="288">
        <v>5.8</v>
      </c>
      <c r="L666" s="289">
        <f aca="true" t="shared" si="156" ref="L666:L671">(Y666*K666%)/G666*1000</f>
        <v>676094.3999999999</v>
      </c>
      <c r="M666" s="288">
        <v>5</v>
      </c>
      <c r="N666" s="289">
        <f aca="true" t="shared" si="157" ref="N666:N671">(Y666*M666%)/G666*1000</f>
        <v>582840</v>
      </c>
      <c r="O666" s="290">
        <v>167.4</v>
      </c>
      <c r="P666" s="291" t="s">
        <v>1590</v>
      </c>
      <c r="Q666" s="288">
        <v>1.05</v>
      </c>
      <c r="R666" s="289">
        <f aca="true" t="shared" si="158" ref="R666:R671">O666*diezel*Q666</f>
        <v>3371588.5014000004</v>
      </c>
      <c r="S666" s="292" t="s">
        <v>1614</v>
      </c>
      <c r="T666" s="296">
        <f>'Nhan cong'!M$42+'Nhan cong'!M$50</f>
        <v>377943.46153846156</v>
      </c>
      <c r="U666" s="250">
        <f>ROUND((J666+L666+N666+R666+T666),0)-2</f>
        <v>6669558</v>
      </c>
      <c r="V666" s="250">
        <v>6723552</v>
      </c>
      <c r="W666" s="250">
        <v>6669558</v>
      </c>
      <c r="X666" s="250">
        <v>6590372</v>
      </c>
      <c r="Y666" s="293">
        <v>2914200</v>
      </c>
      <c r="Z666" s="294"/>
      <c r="AA666" s="251"/>
      <c r="AB666" s="251"/>
    </row>
    <row r="667" spans="1:28" s="295" customFormat="1" ht="31.5">
      <c r="A667" s="284">
        <v>545</v>
      </c>
      <c r="B667" s="284" t="s">
        <v>616</v>
      </c>
      <c r="C667" s="284" t="s">
        <v>1329</v>
      </c>
      <c r="D667" s="284" t="s">
        <v>3560</v>
      </c>
      <c r="E667" s="285" t="s">
        <v>2030</v>
      </c>
      <c r="F667" s="286" t="s">
        <v>1330</v>
      </c>
      <c r="G667" s="284">
        <v>250</v>
      </c>
      <c r="H667" s="284">
        <v>15</v>
      </c>
      <c r="I667" s="284">
        <v>0.95</v>
      </c>
      <c r="J667" s="287">
        <f t="shared" si="155"/>
        <v>2389953</v>
      </c>
      <c r="K667" s="288">
        <v>5.5</v>
      </c>
      <c r="L667" s="289">
        <f t="shared" si="156"/>
        <v>922438</v>
      </c>
      <c r="M667" s="288">
        <v>5</v>
      </c>
      <c r="N667" s="289">
        <f t="shared" si="157"/>
        <v>838580</v>
      </c>
      <c r="O667" s="290">
        <v>82.65</v>
      </c>
      <c r="P667" s="291" t="s">
        <v>1590</v>
      </c>
      <c r="Q667" s="288">
        <v>1.05</v>
      </c>
      <c r="R667" s="289">
        <f t="shared" si="158"/>
        <v>1664646.2941500002</v>
      </c>
      <c r="S667" s="292" t="s">
        <v>1614</v>
      </c>
      <c r="T667" s="296">
        <f>'Nhan cong'!M$42+'Nhan cong'!M$50</f>
        <v>377943.46153846156</v>
      </c>
      <c r="U667" s="250">
        <f>ROUND((J667+L667+N667+R667+T667),0)-2</f>
        <v>6193559</v>
      </c>
      <c r="V667" s="250">
        <v>6247552</v>
      </c>
      <c r="W667" s="250">
        <v>6193559</v>
      </c>
      <c r="X667" s="250">
        <v>6114372</v>
      </c>
      <c r="Y667" s="293">
        <v>4192900</v>
      </c>
      <c r="Z667" s="294"/>
      <c r="AA667" s="251"/>
      <c r="AB667" s="251"/>
    </row>
    <row r="668" spans="1:28" s="295" customFormat="1" ht="31.5">
      <c r="A668" s="284">
        <v>546</v>
      </c>
      <c r="B668" s="284" t="s">
        <v>617</v>
      </c>
      <c r="C668" s="284" t="s">
        <v>1331</v>
      </c>
      <c r="D668" s="284" t="s">
        <v>3561</v>
      </c>
      <c r="E668" s="285" t="s">
        <v>2031</v>
      </c>
      <c r="F668" s="286" t="s">
        <v>1332</v>
      </c>
      <c r="G668" s="284">
        <v>250</v>
      </c>
      <c r="H668" s="284">
        <v>15</v>
      </c>
      <c r="I668" s="284">
        <v>0.95</v>
      </c>
      <c r="J668" s="287">
        <f t="shared" si="155"/>
        <v>3102168</v>
      </c>
      <c r="K668" s="288">
        <v>5.2</v>
      </c>
      <c r="L668" s="289">
        <f t="shared" si="156"/>
        <v>1132019.2000000002</v>
      </c>
      <c r="M668" s="288">
        <v>5</v>
      </c>
      <c r="N668" s="289">
        <f t="shared" si="157"/>
        <v>1088480</v>
      </c>
      <c r="O668" s="290">
        <v>121.44</v>
      </c>
      <c r="P668" s="291" t="s">
        <v>1590</v>
      </c>
      <c r="Q668" s="288">
        <v>1.05</v>
      </c>
      <c r="R668" s="289">
        <f t="shared" si="158"/>
        <v>2445912.23184</v>
      </c>
      <c r="S668" s="292" t="s">
        <v>1614</v>
      </c>
      <c r="T668" s="296">
        <f>'Nhan cong'!M$42+'Nhan cong'!M$50</f>
        <v>377943.46153846156</v>
      </c>
      <c r="U668" s="250">
        <f>ROUND((J668+L668+N668+R668+T668),0)-2</f>
        <v>8146521</v>
      </c>
      <c r="V668" s="250">
        <v>8200514</v>
      </c>
      <c r="W668" s="250">
        <v>8146521</v>
      </c>
      <c r="X668" s="250">
        <v>8067334</v>
      </c>
      <c r="Y668" s="293">
        <v>5442400</v>
      </c>
      <c r="Z668" s="294"/>
      <c r="AA668" s="251"/>
      <c r="AB668" s="251"/>
    </row>
    <row r="669" spans="1:28" s="295" customFormat="1" ht="31.5">
      <c r="A669" s="284">
        <v>547</v>
      </c>
      <c r="B669" s="284">
        <v>0</v>
      </c>
      <c r="C669" s="284" t="s">
        <v>1333</v>
      </c>
      <c r="D669" s="284" t="s">
        <v>3562</v>
      </c>
      <c r="E669" s="285" t="s">
        <v>2032</v>
      </c>
      <c r="F669" s="286" t="s">
        <v>1334</v>
      </c>
      <c r="G669" s="284">
        <v>250</v>
      </c>
      <c r="H669" s="284">
        <v>15</v>
      </c>
      <c r="I669" s="284">
        <v>0.95</v>
      </c>
      <c r="J669" s="287">
        <f t="shared" si="155"/>
        <v>3441717</v>
      </c>
      <c r="K669" s="288">
        <v>4.2</v>
      </c>
      <c r="L669" s="289">
        <f t="shared" si="156"/>
        <v>1014400.8</v>
      </c>
      <c r="M669" s="288">
        <v>5</v>
      </c>
      <c r="N669" s="289">
        <f t="shared" si="157"/>
        <v>1207620</v>
      </c>
      <c r="O669" s="290">
        <v>162</v>
      </c>
      <c r="P669" s="291" t="s">
        <v>1590</v>
      </c>
      <c r="Q669" s="288">
        <v>1.05</v>
      </c>
      <c r="R669" s="289">
        <f t="shared" si="158"/>
        <v>3262827.582</v>
      </c>
      <c r="S669" s="292" t="s">
        <v>1614</v>
      </c>
      <c r="T669" s="296">
        <f>'Nhan cong'!M$42+'Nhan cong'!M$50</f>
        <v>377943.46153846156</v>
      </c>
      <c r="U669" s="250">
        <f>ROUND((J669+L669+N669+R669+T669),0)-2</f>
        <v>9304507</v>
      </c>
      <c r="V669" s="250">
        <v>9358500</v>
      </c>
      <c r="W669" s="250">
        <v>9304507</v>
      </c>
      <c r="X669" s="250">
        <v>9225320</v>
      </c>
      <c r="Y669" s="293">
        <v>6038100</v>
      </c>
      <c r="Z669" s="294"/>
      <c r="AA669" s="251"/>
      <c r="AB669" s="251"/>
    </row>
    <row r="670" spans="1:28" s="295" customFormat="1" ht="31.5">
      <c r="A670" s="284">
        <v>548</v>
      </c>
      <c r="B670" s="284" t="s">
        <v>613</v>
      </c>
      <c r="C670" s="284" t="s">
        <v>1335</v>
      </c>
      <c r="D670" s="284" t="s">
        <v>3563</v>
      </c>
      <c r="E670" s="285" t="s">
        <v>2033</v>
      </c>
      <c r="F670" s="286" t="s">
        <v>1336</v>
      </c>
      <c r="G670" s="284">
        <v>250</v>
      </c>
      <c r="H670" s="284">
        <v>15</v>
      </c>
      <c r="I670" s="284">
        <v>0.95</v>
      </c>
      <c r="J670" s="287">
        <f t="shared" si="155"/>
        <v>3514392</v>
      </c>
      <c r="K670" s="288">
        <v>4.2</v>
      </c>
      <c r="L670" s="289">
        <f t="shared" si="156"/>
        <v>1035820.7999999999</v>
      </c>
      <c r="M670" s="288">
        <v>5</v>
      </c>
      <c r="N670" s="289">
        <f t="shared" si="157"/>
        <v>1233120</v>
      </c>
      <c r="O670" s="290">
        <v>82.08</v>
      </c>
      <c r="P670" s="291" t="s">
        <v>1590</v>
      </c>
      <c r="Q670" s="288">
        <v>1.05</v>
      </c>
      <c r="R670" s="289">
        <f t="shared" si="158"/>
        <v>1653165.9748799999</v>
      </c>
      <c r="S670" s="292" t="s">
        <v>1614</v>
      </c>
      <c r="T670" s="296">
        <f>'Nhan cong'!M$42+'Nhan cong'!M$50</f>
        <v>377943.46153846156</v>
      </c>
      <c r="U670" s="250">
        <f>ROUND((J670+L670+N670+R670+T670),0)-1</f>
        <v>7814441</v>
      </c>
      <c r="V670" s="250">
        <v>7868434</v>
      </c>
      <c r="W670" s="250">
        <v>7814441</v>
      </c>
      <c r="X670" s="250">
        <v>7735254</v>
      </c>
      <c r="Y670" s="293">
        <v>6165600</v>
      </c>
      <c r="Z670" s="294"/>
      <c r="AA670" s="251"/>
      <c r="AB670" s="251"/>
    </row>
    <row r="671" spans="1:28" s="295" customFormat="1" ht="31.5">
      <c r="A671" s="284">
        <v>549</v>
      </c>
      <c r="B671" s="284">
        <v>0</v>
      </c>
      <c r="C671" s="284" t="s">
        <v>1337</v>
      </c>
      <c r="D671" s="284" t="s">
        <v>3564</v>
      </c>
      <c r="E671" s="285" t="s">
        <v>2034</v>
      </c>
      <c r="F671" s="286" t="s">
        <v>1338</v>
      </c>
      <c r="G671" s="284">
        <v>250</v>
      </c>
      <c r="H671" s="284">
        <v>15</v>
      </c>
      <c r="I671" s="284">
        <v>0.95</v>
      </c>
      <c r="J671" s="287">
        <f t="shared" si="155"/>
        <v>3905355</v>
      </c>
      <c r="K671" s="288">
        <v>4.2</v>
      </c>
      <c r="L671" s="289">
        <f t="shared" si="156"/>
        <v>1151052</v>
      </c>
      <c r="M671" s="288">
        <v>5</v>
      </c>
      <c r="N671" s="289">
        <f t="shared" si="157"/>
        <v>1370300</v>
      </c>
      <c r="O671" s="290">
        <v>180.9</v>
      </c>
      <c r="P671" s="291" t="s">
        <v>1590</v>
      </c>
      <c r="Q671" s="288">
        <v>1.05</v>
      </c>
      <c r="R671" s="289">
        <f t="shared" si="158"/>
        <v>3643490.7999</v>
      </c>
      <c r="S671" s="292" t="s">
        <v>1614</v>
      </c>
      <c r="T671" s="296">
        <f>'Nhan cong'!M$42+'Nhan cong'!M$50</f>
        <v>377943.46153846156</v>
      </c>
      <c r="U671" s="250">
        <f>ROUND((J671+L671+N671+R671+T671),0)-2</f>
        <v>10448139</v>
      </c>
      <c r="V671" s="250">
        <v>10502133</v>
      </c>
      <c r="W671" s="250">
        <v>10448139</v>
      </c>
      <c r="X671" s="250">
        <v>10368953</v>
      </c>
      <c r="Y671" s="293">
        <v>6851500</v>
      </c>
      <c r="Z671" s="294"/>
      <c r="AA671" s="251"/>
      <c r="AB671" s="251"/>
    </row>
    <row r="672" spans="1:28" s="295" customFormat="1" ht="15.75">
      <c r="A672" s="297"/>
      <c r="B672" s="284"/>
      <c r="C672" s="298"/>
      <c r="D672" s="284"/>
      <c r="E672" s="272"/>
      <c r="F672" s="151" t="s">
        <v>1339</v>
      </c>
      <c r="G672" s="284"/>
      <c r="H672" s="284"/>
      <c r="I672" s="284"/>
      <c r="J672" s="299"/>
      <c r="K672" s="288"/>
      <c r="L672" s="289"/>
      <c r="M672" s="288"/>
      <c r="N672" s="300"/>
      <c r="O672" s="290"/>
      <c r="P672" s="291"/>
      <c r="Q672" s="288"/>
      <c r="R672" s="300"/>
      <c r="S672" s="292"/>
      <c r="T672" s="296"/>
      <c r="U672" s="250"/>
      <c r="V672" s="250"/>
      <c r="W672" s="250"/>
      <c r="X672" s="250"/>
      <c r="Y672" s="293"/>
      <c r="Z672" s="385"/>
      <c r="AA672" s="251"/>
      <c r="AB672" s="251"/>
    </row>
    <row r="673" spans="1:28" s="295" customFormat="1" ht="31.5">
      <c r="A673" s="284">
        <v>550</v>
      </c>
      <c r="B673" s="284" t="s">
        <v>725</v>
      </c>
      <c r="C673" s="284" t="s">
        <v>1340</v>
      </c>
      <c r="D673" s="284" t="s">
        <v>3565</v>
      </c>
      <c r="E673" s="285" t="s">
        <v>2035</v>
      </c>
      <c r="F673" s="286" t="s">
        <v>1341</v>
      </c>
      <c r="G673" s="284">
        <v>250</v>
      </c>
      <c r="H673" s="284">
        <v>15</v>
      </c>
      <c r="I673" s="284">
        <v>0.95</v>
      </c>
      <c r="J673" s="287">
        <f>Y673*H673%*I673/G673*1000</f>
        <v>4883760</v>
      </c>
      <c r="K673" s="288">
        <v>3.9</v>
      </c>
      <c r="L673" s="289">
        <f>(Y673*K673%)/G673*1000</f>
        <v>1336608</v>
      </c>
      <c r="M673" s="288">
        <v>5</v>
      </c>
      <c r="N673" s="289">
        <f>(Y673*M673%)/G673*1000</f>
        <v>1713600</v>
      </c>
      <c r="O673" s="290">
        <v>1042.2</v>
      </c>
      <c r="P673" s="291" t="s">
        <v>433</v>
      </c>
      <c r="Q673" s="288">
        <v>1.07</v>
      </c>
      <c r="R673" s="289">
        <f>O673*dien*Q673</f>
        <v>1270160.4060000002</v>
      </c>
      <c r="S673" s="292" t="s">
        <v>1614</v>
      </c>
      <c r="T673" s="296">
        <f>'Nhan cong'!M$42+'Nhan cong'!M$50</f>
        <v>377943.46153846156</v>
      </c>
      <c r="U673" s="250">
        <f>ROUND((J673+L673+N673+R673+T673),0)-1</f>
        <v>9582071</v>
      </c>
      <c r="V673" s="250">
        <v>9636063</v>
      </c>
      <c r="W673" s="250">
        <v>9582071</v>
      </c>
      <c r="X673" s="250">
        <v>9502883</v>
      </c>
      <c r="Y673" s="293">
        <v>8568000</v>
      </c>
      <c r="Z673" s="294"/>
      <c r="AA673" s="251"/>
      <c r="AB673" s="251"/>
    </row>
    <row r="674" spans="1:28" s="295" customFormat="1" ht="15.75">
      <c r="A674" s="297"/>
      <c r="B674" s="284"/>
      <c r="C674" s="298"/>
      <c r="D674" s="284"/>
      <c r="E674" s="272"/>
      <c r="F674" s="151" t="s">
        <v>1342</v>
      </c>
      <c r="G674" s="284"/>
      <c r="H674" s="284"/>
      <c r="I674" s="284"/>
      <c r="J674" s="299"/>
      <c r="K674" s="288"/>
      <c r="L674" s="289"/>
      <c r="M674" s="288"/>
      <c r="N674" s="300"/>
      <c r="O674" s="290"/>
      <c r="P674" s="291"/>
      <c r="Q674" s="288"/>
      <c r="R674" s="300"/>
      <c r="S674" s="292"/>
      <c r="T674" s="296"/>
      <c r="U674" s="250"/>
      <c r="V674" s="250"/>
      <c r="W674" s="250"/>
      <c r="X674" s="250"/>
      <c r="Y674" s="293"/>
      <c r="Z674" s="385"/>
      <c r="AA674" s="251"/>
      <c r="AB674" s="251"/>
    </row>
    <row r="675" spans="1:28" s="295" customFormat="1" ht="31.5">
      <c r="A675" s="284">
        <v>551</v>
      </c>
      <c r="B675" s="284" t="s">
        <v>726</v>
      </c>
      <c r="C675" s="284" t="s">
        <v>1343</v>
      </c>
      <c r="D675" s="284" t="s">
        <v>3566</v>
      </c>
      <c r="E675" s="285" t="s">
        <v>2036</v>
      </c>
      <c r="F675" s="286" t="s">
        <v>1344</v>
      </c>
      <c r="G675" s="284">
        <v>250</v>
      </c>
      <c r="H675" s="284">
        <v>15</v>
      </c>
      <c r="I675" s="284">
        <v>0.95</v>
      </c>
      <c r="J675" s="287">
        <f>Y675*H675%*I675/G675*1000</f>
        <v>5848542</v>
      </c>
      <c r="K675" s="288">
        <v>3.9</v>
      </c>
      <c r="L675" s="289">
        <f>(Y675*K675%)/G675*1000</f>
        <v>1600653.6</v>
      </c>
      <c r="M675" s="288">
        <v>5</v>
      </c>
      <c r="N675" s="289">
        <f>(Y675*M675%)/G675*1000</f>
        <v>2052120</v>
      </c>
      <c r="O675" s="290">
        <v>202.5</v>
      </c>
      <c r="P675" s="291" t="s">
        <v>1590</v>
      </c>
      <c r="Q675" s="288">
        <v>1.05</v>
      </c>
      <c r="R675" s="289">
        <f>O675*diezel*Q675</f>
        <v>4078534.4775</v>
      </c>
      <c r="S675" s="292" t="s">
        <v>1614</v>
      </c>
      <c r="T675" s="296">
        <f>'Nhan cong'!M$42+'Nhan cong'!M$50</f>
        <v>377943.46153846156</v>
      </c>
      <c r="U675" s="250">
        <f>ROUND((J675+L675+N675+R675+T675),0)-3</f>
        <v>13957791</v>
      </c>
      <c r="V675" s="250">
        <v>14011785</v>
      </c>
      <c r="W675" s="250">
        <v>13957791</v>
      </c>
      <c r="X675" s="250">
        <v>13878605</v>
      </c>
      <c r="Y675" s="293">
        <v>10260600</v>
      </c>
      <c r="Z675" s="294"/>
      <c r="AA675" s="251"/>
      <c r="AB675" s="251"/>
    </row>
    <row r="676" spans="1:28" s="295" customFormat="1" ht="15.75">
      <c r="A676" s="297"/>
      <c r="B676" s="284"/>
      <c r="C676" s="298"/>
      <c r="D676" s="284"/>
      <c r="E676" s="272"/>
      <c r="F676" s="151" t="s">
        <v>1345</v>
      </c>
      <c r="G676" s="284"/>
      <c r="H676" s="284"/>
      <c r="I676" s="284"/>
      <c r="J676" s="299"/>
      <c r="K676" s="288"/>
      <c r="L676" s="289"/>
      <c r="M676" s="288"/>
      <c r="N676" s="300"/>
      <c r="O676" s="290"/>
      <c r="P676" s="291"/>
      <c r="Q676" s="288"/>
      <c r="R676" s="300"/>
      <c r="S676" s="292"/>
      <c r="T676" s="296"/>
      <c r="U676" s="250"/>
      <c r="V676" s="250"/>
      <c r="W676" s="250"/>
      <c r="X676" s="250"/>
      <c r="Y676" s="293"/>
      <c r="Z676" s="385"/>
      <c r="AA676" s="251"/>
      <c r="AB676" s="251"/>
    </row>
    <row r="677" spans="1:28" s="295" customFormat="1" ht="31.5">
      <c r="A677" s="284">
        <v>552</v>
      </c>
      <c r="B677" s="284">
        <v>0</v>
      </c>
      <c r="C677" s="284" t="s">
        <v>1346</v>
      </c>
      <c r="D677" s="284" t="s">
        <v>3567</v>
      </c>
      <c r="E677" s="285" t="s">
        <v>2037</v>
      </c>
      <c r="F677" s="286" t="s">
        <v>1347</v>
      </c>
      <c r="G677" s="284">
        <v>250</v>
      </c>
      <c r="H677" s="284">
        <v>15</v>
      </c>
      <c r="I677" s="284">
        <v>0.95</v>
      </c>
      <c r="J677" s="287">
        <f>Y677*H677%*I677/G677*1000</f>
        <v>5685807</v>
      </c>
      <c r="K677" s="288">
        <v>3.9</v>
      </c>
      <c r="L677" s="289">
        <f>(Y677*K677%)/G677*1000</f>
        <v>1556115.6</v>
      </c>
      <c r="M677" s="288">
        <v>6</v>
      </c>
      <c r="N677" s="289">
        <f>(Y677*M677%)/G677*1000</f>
        <v>2394024</v>
      </c>
      <c r="O677" s="290">
        <v>83.79</v>
      </c>
      <c r="P677" s="291" t="s">
        <v>1590</v>
      </c>
      <c r="Q677" s="288">
        <v>1.05</v>
      </c>
      <c r="R677" s="289">
        <f>O677*diezel*Q677</f>
        <v>1687606.9326900004</v>
      </c>
      <c r="S677" s="292" t="s">
        <v>1348</v>
      </c>
      <c r="T677" s="296">
        <f>'Nhan cong'!M$42*2+'Nhan cong'!M$50*2</f>
        <v>755886.9230769231</v>
      </c>
      <c r="U677" s="250">
        <f>ROUND((J677+L677+N677+R677+T677),0)</f>
        <v>12079440</v>
      </c>
      <c r="V677" s="250">
        <v>12187424</v>
      </c>
      <c r="W677" s="250">
        <v>12079440</v>
      </c>
      <c r="X677" s="250">
        <v>11921064</v>
      </c>
      <c r="Y677" s="293">
        <v>9975100</v>
      </c>
      <c r="Z677" s="294"/>
      <c r="AA677" s="251"/>
      <c r="AB677" s="251"/>
    </row>
    <row r="678" spans="1:28" s="295" customFormat="1" ht="31.5">
      <c r="A678" s="284">
        <v>553</v>
      </c>
      <c r="B678" s="284">
        <v>0</v>
      </c>
      <c r="C678" s="284" t="s">
        <v>1349</v>
      </c>
      <c r="D678" s="284" t="s">
        <v>3568</v>
      </c>
      <c r="E678" s="285" t="s">
        <v>2038</v>
      </c>
      <c r="F678" s="286" t="s">
        <v>1350</v>
      </c>
      <c r="G678" s="284">
        <v>250</v>
      </c>
      <c r="H678" s="284">
        <v>15</v>
      </c>
      <c r="I678" s="284">
        <v>0.95</v>
      </c>
      <c r="J678" s="287">
        <f>Y678*H678%*I678/G678*1000</f>
        <v>8286831</v>
      </c>
      <c r="K678" s="288">
        <v>3.9</v>
      </c>
      <c r="L678" s="289">
        <f>(Y678*K678%)/G678*1000</f>
        <v>2267974.8</v>
      </c>
      <c r="M678" s="288">
        <v>6</v>
      </c>
      <c r="N678" s="289">
        <f>(Y678*M678%)/G678*1000</f>
        <v>3489192</v>
      </c>
      <c r="O678" s="290">
        <v>137.7</v>
      </c>
      <c r="P678" s="291" t="s">
        <v>1590</v>
      </c>
      <c r="Q678" s="288">
        <v>1.05</v>
      </c>
      <c r="R678" s="289">
        <f>O678*diezel*Q678</f>
        <v>2773403.4447</v>
      </c>
      <c r="S678" s="292" t="s">
        <v>1348</v>
      </c>
      <c r="T678" s="296">
        <f>'Nhan cong'!M$42*2+'Nhan cong'!M$50*2</f>
        <v>755886.9230769231</v>
      </c>
      <c r="U678" s="250">
        <f>ROUND((J678+L678+N678+R678+T678),0)-1</f>
        <v>17573287</v>
      </c>
      <c r="V678" s="250">
        <v>17681272</v>
      </c>
      <c r="W678" s="250">
        <v>17573287</v>
      </c>
      <c r="X678" s="250">
        <v>17414912</v>
      </c>
      <c r="Y678" s="293">
        <v>14538300</v>
      </c>
      <c r="Z678" s="294"/>
      <c r="AA678" s="251"/>
      <c r="AB678" s="251"/>
    </row>
    <row r="679" spans="1:28" s="295" customFormat="1" ht="15.75">
      <c r="A679" s="297"/>
      <c r="B679" s="284"/>
      <c r="C679" s="298"/>
      <c r="D679" s="284"/>
      <c r="E679" s="272"/>
      <c r="F679" s="151" t="s">
        <v>1351</v>
      </c>
      <c r="G679" s="284"/>
      <c r="H679" s="284"/>
      <c r="I679" s="284"/>
      <c r="J679" s="299"/>
      <c r="K679" s="288"/>
      <c r="L679" s="289"/>
      <c r="M679" s="288"/>
      <c r="N679" s="300"/>
      <c r="O679" s="290"/>
      <c r="P679" s="291"/>
      <c r="Q679" s="288"/>
      <c r="R679" s="300"/>
      <c r="S679" s="292"/>
      <c r="T679" s="296"/>
      <c r="U679" s="250"/>
      <c r="V679" s="250"/>
      <c r="W679" s="250"/>
      <c r="X679" s="250"/>
      <c r="Y679" s="293"/>
      <c r="Z679" s="385"/>
      <c r="AA679" s="251"/>
      <c r="AB679" s="251"/>
    </row>
    <row r="680" spans="1:28" s="295" customFormat="1" ht="31.5">
      <c r="A680" s="284">
        <v>554</v>
      </c>
      <c r="B680" s="284">
        <v>0</v>
      </c>
      <c r="C680" s="284" t="s">
        <v>1352</v>
      </c>
      <c r="D680" s="284" t="s">
        <v>3569</v>
      </c>
      <c r="E680" s="285" t="s">
        <v>2039</v>
      </c>
      <c r="F680" s="286" t="s">
        <v>1353</v>
      </c>
      <c r="G680" s="284">
        <v>250</v>
      </c>
      <c r="H680" s="284">
        <v>15</v>
      </c>
      <c r="I680" s="284">
        <v>0.95</v>
      </c>
      <c r="J680" s="287">
        <f>Y680*H680%*I680/G680*1000</f>
        <v>6289779</v>
      </c>
      <c r="K680" s="288">
        <v>3.9</v>
      </c>
      <c r="L680" s="289">
        <f>(Y680*K680%)/G680*1000</f>
        <v>1721413.2</v>
      </c>
      <c r="M680" s="288">
        <v>6</v>
      </c>
      <c r="N680" s="289">
        <f>(Y680*M680%)/G680*1000</f>
        <v>2648328</v>
      </c>
      <c r="O680" s="290">
        <v>38.4</v>
      </c>
      <c r="P680" s="291" t="s">
        <v>1590</v>
      </c>
      <c r="Q680" s="288">
        <v>1.05</v>
      </c>
      <c r="R680" s="289">
        <f>O680*diezel*Q680</f>
        <v>773410.9824</v>
      </c>
      <c r="S680" s="292" t="s">
        <v>1348</v>
      </c>
      <c r="T680" s="296">
        <f>'Nhan cong'!M$42*2+'Nhan cong'!M$50*2</f>
        <v>755886.9230769231</v>
      </c>
      <c r="U680" s="250">
        <f>ROUND((J680+L680+N680+R680+T680),0)</f>
        <v>12188818</v>
      </c>
      <c r="V680" s="250">
        <v>12296802</v>
      </c>
      <c r="W680" s="250">
        <v>12188818</v>
      </c>
      <c r="X680" s="250">
        <v>12030442</v>
      </c>
      <c r="Y680" s="293">
        <v>11034700</v>
      </c>
      <c r="Z680" s="294"/>
      <c r="AA680" s="251"/>
      <c r="AB680" s="251"/>
    </row>
    <row r="681" spans="1:28" s="295" customFormat="1" ht="15.75">
      <c r="A681" s="297"/>
      <c r="B681" s="284"/>
      <c r="C681" s="298"/>
      <c r="D681" s="284"/>
      <c r="E681" s="272"/>
      <c r="F681" s="151" t="s">
        <v>1354</v>
      </c>
      <c r="G681" s="284"/>
      <c r="H681" s="284"/>
      <c r="I681" s="284"/>
      <c r="J681" s="299"/>
      <c r="K681" s="288"/>
      <c r="L681" s="289"/>
      <c r="M681" s="288"/>
      <c r="N681" s="300"/>
      <c r="O681" s="290"/>
      <c r="P681" s="291"/>
      <c r="Q681" s="288"/>
      <c r="R681" s="300"/>
      <c r="S681" s="292"/>
      <c r="T681" s="296"/>
      <c r="U681" s="250"/>
      <c r="V681" s="250"/>
      <c r="W681" s="250"/>
      <c r="X681" s="250"/>
      <c r="Y681" s="293"/>
      <c r="Z681" s="385"/>
      <c r="AA681" s="251"/>
      <c r="AB681" s="251"/>
    </row>
    <row r="682" spans="1:28" s="295" customFormat="1" ht="31.5">
      <c r="A682" s="284">
        <v>555</v>
      </c>
      <c r="B682" s="284">
        <v>0</v>
      </c>
      <c r="C682" s="284" t="s">
        <v>1355</v>
      </c>
      <c r="D682" s="284" t="s">
        <v>3570</v>
      </c>
      <c r="E682" s="285" t="s">
        <v>2040</v>
      </c>
      <c r="F682" s="286" t="s">
        <v>1356</v>
      </c>
      <c r="G682" s="284">
        <v>200</v>
      </c>
      <c r="H682" s="284">
        <v>15</v>
      </c>
      <c r="I682" s="284">
        <v>0.95</v>
      </c>
      <c r="J682" s="287">
        <f>Y682*H682%*I682/G682*1000</f>
        <v>25855698.75</v>
      </c>
      <c r="K682" s="288">
        <v>3.2</v>
      </c>
      <c r="L682" s="289">
        <f>(Y682*K682%)/G682*1000</f>
        <v>5806192.000000001</v>
      </c>
      <c r="M682" s="288">
        <v>6</v>
      </c>
      <c r="N682" s="289">
        <f>(Y682*M682%)/G682*1000</f>
        <v>10886610</v>
      </c>
      <c r="O682" s="290">
        <v>675</v>
      </c>
      <c r="P682" s="291" t="s">
        <v>433</v>
      </c>
      <c r="Q682" s="288">
        <v>1.07</v>
      </c>
      <c r="R682" s="289">
        <f>O682*dien*Q682</f>
        <v>822642.75</v>
      </c>
      <c r="S682" s="292" t="s">
        <v>1348</v>
      </c>
      <c r="T682" s="296">
        <f>'Nhan cong'!M$42*2+'Nhan cong'!M$50*2</f>
        <v>755886.9230769231</v>
      </c>
      <c r="U682" s="250">
        <f>ROUND((J682+L682+N682+R682+T682),0)+1</f>
        <v>44127031</v>
      </c>
      <c r="V682" s="250">
        <v>44235015</v>
      </c>
      <c r="W682" s="250">
        <v>44127031</v>
      </c>
      <c r="X682" s="250">
        <v>43968655</v>
      </c>
      <c r="Y682" s="293">
        <v>36288700</v>
      </c>
      <c r="Z682" s="294"/>
      <c r="AA682" s="251"/>
      <c r="AB682" s="251"/>
    </row>
    <row r="683" spans="1:28" s="295" customFormat="1" ht="15.75">
      <c r="A683" s="297"/>
      <c r="B683" s="284"/>
      <c r="C683" s="298"/>
      <c r="D683" s="284"/>
      <c r="E683" s="272"/>
      <c r="F683" s="151" t="s">
        <v>1357</v>
      </c>
      <c r="G683" s="284"/>
      <c r="H683" s="284"/>
      <c r="I683" s="284"/>
      <c r="J683" s="299"/>
      <c r="K683" s="288"/>
      <c r="L683" s="289"/>
      <c r="M683" s="288"/>
      <c r="N683" s="300"/>
      <c r="O683" s="290"/>
      <c r="P683" s="291"/>
      <c r="Q683" s="288"/>
      <c r="R683" s="300"/>
      <c r="S683" s="292"/>
      <c r="T683" s="296"/>
      <c r="U683" s="250"/>
      <c r="V683" s="250"/>
      <c r="W683" s="250"/>
      <c r="X683" s="250"/>
      <c r="Y683" s="293"/>
      <c r="Z683" s="385"/>
      <c r="AA683" s="251"/>
      <c r="AB683" s="251"/>
    </row>
    <row r="684" spans="1:28" s="295" customFormat="1" ht="15.75">
      <c r="A684" s="284">
        <v>556</v>
      </c>
      <c r="B684" s="284" t="s">
        <v>697</v>
      </c>
      <c r="C684" s="284" t="s">
        <v>1358</v>
      </c>
      <c r="D684" s="284" t="s">
        <v>3571</v>
      </c>
      <c r="E684" s="285" t="s">
        <v>2041</v>
      </c>
      <c r="F684" s="286" t="s">
        <v>1359</v>
      </c>
      <c r="G684" s="284">
        <v>200</v>
      </c>
      <c r="H684" s="284">
        <v>20</v>
      </c>
      <c r="I684" s="284">
        <v>0.95</v>
      </c>
      <c r="J684" s="287">
        <f>Y684*H684%*I684/G684*1000</f>
        <v>1828750</v>
      </c>
      <c r="K684" s="288">
        <v>1.8</v>
      </c>
      <c r="L684" s="289">
        <f>(Y684*K684%)/G684*1000</f>
        <v>173250.00000000003</v>
      </c>
      <c r="M684" s="288">
        <v>6</v>
      </c>
      <c r="N684" s="289">
        <f>(Y684*M684%)/G684*1000</f>
        <v>577500</v>
      </c>
      <c r="O684" s="290">
        <v>16.2</v>
      </c>
      <c r="P684" s="291" t="s">
        <v>433</v>
      </c>
      <c r="Q684" s="288">
        <v>1.07</v>
      </c>
      <c r="R684" s="289">
        <f>O684*dien*Q684</f>
        <v>19743.426</v>
      </c>
      <c r="S684" s="292" t="s">
        <v>1591</v>
      </c>
      <c r="T684" s="289">
        <f>'Nhan cong'!$M$42</f>
        <v>145974.23076923078</v>
      </c>
      <c r="U684" s="250">
        <f>ROUND((J684+L684+N684+R684+T684),0)-1</f>
        <v>2745217</v>
      </c>
      <c r="V684" s="250">
        <v>2766071</v>
      </c>
      <c r="W684" s="250">
        <v>2745217</v>
      </c>
      <c r="X684" s="250">
        <v>2714632</v>
      </c>
      <c r="Y684" s="293">
        <v>1925000</v>
      </c>
      <c r="Z684" s="294"/>
      <c r="AA684" s="251"/>
      <c r="AB684" s="251"/>
    </row>
    <row r="685" spans="1:28" s="295" customFormat="1" ht="15.75">
      <c r="A685" s="297"/>
      <c r="B685" s="284"/>
      <c r="C685" s="298"/>
      <c r="D685" s="284"/>
      <c r="E685" s="272"/>
      <c r="F685" s="151" t="s">
        <v>1360</v>
      </c>
      <c r="G685" s="284"/>
      <c r="H685" s="284"/>
      <c r="I685" s="284"/>
      <c r="J685" s="299"/>
      <c r="K685" s="288"/>
      <c r="L685" s="289"/>
      <c r="M685" s="288"/>
      <c r="N685" s="300"/>
      <c r="O685" s="290"/>
      <c r="P685" s="291"/>
      <c r="Q685" s="288"/>
      <c r="R685" s="300"/>
      <c r="S685" s="292"/>
      <c r="T685" s="289"/>
      <c r="U685" s="250"/>
      <c r="V685" s="250"/>
      <c r="W685" s="250"/>
      <c r="X685" s="250"/>
      <c r="Y685" s="293"/>
      <c r="Z685" s="385"/>
      <c r="AA685" s="251"/>
      <c r="AB685" s="251"/>
    </row>
    <row r="686" spans="1:28" s="295" customFormat="1" ht="15.75">
      <c r="A686" s="284">
        <v>557</v>
      </c>
      <c r="B686" s="284" t="s">
        <v>608</v>
      </c>
      <c r="C686" s="284" t="s">
        <v>1361</v>
      </c>
      <c r="D686" s="284" t="s">
        <v>3572</v>
      </c>
      <c r="E686" s="285" t="s">
        <v>2042</v>
      </c>
      <c r="F686" s="286" t="s">
        <v>1362</v>
      </c>
      <c r="G686" s="284">
        <v>220</v>
      </c>
      <c r="H686" s="284">
        <v>16</v>
      </c>
      <c r="I686" s="284">
        <v>0.95</v>
      </c>
      <c r="J686" s="287">
        <f>Y686*H686%*I686/G686*1000</f>
        <v>435272.72727272724</v>
      </c>
      <c r="K686" s="288">
        <v>6.4</v>
      </c>
      <c r="L686" s="289">
        <f>(Y686*K686%)/G686*1000</f>
        <v>183272.7272727273</v>
      </c>
      <c r="M686" s="288">
        <v>5</v>
      </c>
      <c r="N686" s="289">
        <f>(Y686*M686%)/G686*1000</f>
        <v>143181.81818181818</v>
      </c>
      <c r="O686" s="290">
        <v>144</v>
      </c>
      <c r="P686" s="291" t="s">
        <v>433</v>
      </c>
      <c r="Q686" s="288">
        <v>1.07</v>
      </c>
      <c r="R686" s="289">
        <f>O686*dien*Q686</f>
        <v>175497.12000000002</v>
      </c>
      <c r="S686" s="292" t="s">
        <v>1321</v>
      </c>
      <c r="T686" s="296">
        <f>'Nhan cong'!M$38*2+'Nhan cong'!M$42</f>
        <v>397215</v>
      </c>
      <c r="U686" s="250">
        <f>ROUND((J686+L686+N686+R686+T686),0)+1</f>
        <v>1334440</v>
      </c>
      <c r="V686" s="250">
        <v>1391184</v>
      </c>
      <c r="W686" s="250">
        <v>1334440</v>
      </c>
      <c r="X686" s="250">
        <v>1251213</v>
      </c>
      <c r="Y686" s="293">
        <v>630000</v>
      </c>
      <c r="Z686" s="294"/>
      <c r="AA686" s="251"/>
      <c r="AB686" s="251"/>
    </row>
    <row r="687" spans="1:28" s="295" customFormat="1" ht="15.75">
      <c r="A687" s="297"/>
      <c r="B687" s="284"/>
      <c r="C687" s="298"/>
      <c r="D687" s="284"/>
      <c r="E687" s="272"/>
      <c r="F687" s="151" t="s">
        <v>1363</v>
      </c>
      <c r="G687" s="284"/>
      <c r="H687" s="284"/>
      <c r="I687" s="284"/>
      <c r="J687" s="299"/>
      <c r="K687" s="288"/>
      <c r="L687" s="289"/>
      <c r="M687" s="288"/>
      <c r="N687" s="300"/>
      <c r="O687" s="290"/>
      <c r="P687" s="291"/>
      <c r="Q687" s="288"/>
      <c r="R687" s="300"/>
      <c r="S687" s="292"/>
      <c r="T687" s="296"/>
      <c r="U687" s="250"/>
      <c r="V687" s="250"/>
      <c r="W687" s="250"/>
      <c r="X687" s="250"/>
      <c r="Y687" s="293"/>
      <c r="Z687" s="385"/>
      <c r="AA687" s="251"/>
      <c r="AB687" s="251"/>
    </row>
    <row r="688" spans="1:28" s="295" customFormat="1" ht="15.75">
      <c r="A688" s="284">
        <v>558</v>
      </c>
      <c r="B688" s="284" t="s">
        <v>724</v>
      </c>
      <c r="C688" s="284" t="s">
        <v>1364</v>
      </c>
      <c r="D688" s="284" t="s">
        <v>3573</v>
      </c>
      <c r="E688" s="285" t="s">
        <v>2043</v>
      </c>
      <c r="F688" s="286" t="s">
        <v>1365</v>
      </c>
      <c r="G688" s="284">
        <v>220</v>
      </c>
      <c r="H688" s="284">
        <v>15</v>
      </c>
      <c r="I688" s="284">
        <v>0.95</v>
      </c>
      <c r="J688" s="287">
        <f>Y688*H688%*I688/G688*1000</f>
        <v>723640.9090909091</v>
      </c>
      <c r="K688" s="288">
        <v>6.5</v>
      </c>
      <c r="L688" s="289">
        <f>(Y688*K688%)/G688*1000</f>
        <v>330081.8181818182</v>
      </c>
      <c r="M688" s="288">
        <v>5</v>
      </c>
      <c r="N688" s="289">
        <f>(Y688*M688%)/G688*1000</f>
        <v>253909.0909090909</v>
      </c>
      <c r="O688" s="290">
        <v>19.44</v>
      </c>
      <c r="P688" s="291" t="s">
        <v>1590</v>
      </c>
      <c r="Q688" s="288">
        <v>1.05</v>
      </c>
      <c r="R688" s="289">
        <f>O688*diezel*Q688</f>
        <v>391539.30984</v>
      </c>
      <c r="S688" s="292" t="s">
        <v>1321</v>
      </c>
      <c r="T688" s="296">
        <f>'Nhan cong'!M$38*2+'Nhan cong'!M$42</f>
        <v>397215</v>
      </c>
      <c r="U688" s="250">
        <f>ROUND((J688+L688+N688+R688+T688),0)</f>
        <v>2096386</v>
      </c>
      <c r="V688" s="250">
        <v>2153131</v>
      </c>
      <c r="W688" s="250">
        <v>2096386</v>
      </c>
      <c r="X688" s="250">
        <v>2013160</v>
      </c>
      <c r="Y688" s="293">
        <v>1117200</v>
      </c>
      <c r="Z688" s="294"/>
      <c r="AA688" s="251"/>
      <c r="AB688" s="251"/>
    </row>
    <row r="689" spans="1:28" s="295" customFormat="1" ht="15.75">
      <c r="A689" s="284">
        <v>559</v>
      </c>
      <c r="B689" s="284" t="s">
        <v>737</v>
      </c>
      <c r="C689" s="284" t="s">
        <v>1366</v>
      </c>
      <c r="D689" s="284" t="s">
        <v>3574</v>
      </c>
      <c r="E689" s="285" t="s">
        <v>2044</v>
      </c>
      <c r="F689" s="286" t="s">
        <v>1367</v>
      </c>
      <c r="G689" s="284">
        <v>220</v>
      </c>
      <c r="H689" s="284">
        <v>13</v>
      </c>
      <c r="I689" s="284">
        <v>0.95</v>
      </c>
      <c r="J689" s="287">
        <f>Y689*H689%*I689/G689*1000</f>
        <v>3950259.7727272725</v>
      </c>
      <c r="K689" s="288">
        <v>3.9</v>
      </c>
      <c r="L689" s="289">
        <f>(Y689*K689%)/G689*1000</f>
        <v>1247450.4545454546</v>
      </c>
      <c r="M689" s="288">
        <v>5</v>
      </c>
      <c r="N689" s="289">
        <f>(Y689*M689%)/G689*1000</f>
        <v>1599295.4545454546</v>
      </c>
      <c r="O689" s="290">
        <v>97.2</v>
      </c>
      <c r="P689" s="291" t="s">
        <v>1590</v>
      </c>
      <c r="Q689" s="288">
        <v>1.05</v>
      </c>
      <c r="R689" s="289">
        <f>O689*diezel*Q689</f>
        <v>1957696.5492000002</v>
      </c>
      <c r="S689" s="292" t="s">
        <v>1368</v>
      </c>
      <c r="T689" s="296">
        <f>'Nhan cong'!M$38*2+'Nhan cong'!M$42+'Nhan cong'!M$49</f>
        <v>595600.3846153846</v>
      </c>
      <c r="U689" s="250">
        <f>ROUND((J689+L689+N689+R689+T689),0)-2</f>
        <v>9350301</v>
      </c>
      <c r="V689" s="250">
        <v>9435388</v>
      </c>
      <c r="W689" s="250">
        <v>9350301</v>
      </c>
      <c r="X689" s="250">
        <v>9225510</v>
      </c>
      <c r="Y689" s="293">
        <v>7036900</v>
      </c>
      <c r="Z689" s="294"/>
      <c r="AA689" s="251"/>
      <c r="AB689" s="251"/>
    </row>
    <row r="690" spans="1:28" s="295" customFormat="1" ht="15.75">
      <c r="A690" s="297"/>
      <c r="B690" s="284"/>
      <c r="C690" s="298"/>
      <c r="D690" s="284"/>
      <c r="E690" s="272"/>
      <c r="F690" s="149" t="s">
        <v>1369</v>
      </c>
      <c r="G690" s="284"/>
      <c r="H690" s="284"/>
      <c r="I690" s="284"/>
      <c r="J690" s="299"/>
      <c r="K690" s="301"/>
      <c r="L690" s="289"/>
      <c r="M690" s="301"/>
      <c r="N690" s="300"/>
      <c r="O690" s="302"/>
      <c r="P690" s="272"/>
      <c r="Q690" s="288"/>
      <c r="R690" s="300"/>
      <c r="S690" s="284"/>
      <c r="T690" s="296"/>
      <c r="U690" s="250"/>
      <c r="V690" s="250"/>
      <c r="W690" s="250"/>
      <c r="X690" s="250"/>
      <c r="Y690" s="293"/>
      <c r="Z690" s="385"/>
      <c r="AA690" s="251"/>
      <c r="AB690" s="251"/>
    </row>
    <row r="691" spans="1:28" s="295" customFormat="1" ht="31.5">
      <c r="A691" s="284">
        <v>560</v>
      </c>
      <c r="B691" s="284">
        <v>0</v>
      </c>
      <c r="C691" s="284" t="s">
        <v>1370</v>
      </c>
      <c r="D691" s="284" t="s">
        <v>3575</v>
      </c>
      <c r="E691" s="285" t="s">
        <v>2045</v>
      </c>
      <c r="F691" s="286" t="s">
        <v>1371</v>
      </c>
      <c r="G691" s="284">
        <v>240</v>
      </c>
      <c r="H691" s="284">
        <v>15</v>
      </c>
      <c r="I691" s="284">
        <v>0.95</v>
      </c>
      <c r="J691" s="287">
        <f>Y691*H691%*I691/G691*1000</f>
        <v>3075209.375</v>
      </c>
      <c r="K691" s="301">
        <v>3.5</v>
      </c>
      <c r="L691" s="289">
        <f>(Y691*K691%)/G691*1000</f>
        <v>755314.5833333334</v>
      </c>
      <c r="M691" s="301">
        <v>6</v>
      </c>
      <c r="N691" s="289">
        <f>(Y691*M691%)/G691*1000</f>
        <v>1294825</v>
      </c>
      <c r="O691" s="302">
        <v>201</v>
      </c>
      <c r="P691" s="272" t="s">
        <v>433</v>
      </c>
      <c r="Q691" s="288">
        <v>1.07</v>
      </c>
      <c r="R691" s="289">
        <f>O691*dien*Q691</f>
        <v>244964.73</v>
      </c>
      <c r="S691" s="284" t="s">
        <v>1614</v>
      </c>
      <c r="T691" s="296">
        <f>Nii4+Nii7</f>
        <v>377943.46153846156</v>
      </c>
      <c r="U691" s="250">
        <f>ROUND((J691+L691+N691+R691+T691),0)</f>
        <v>5748257</v>
      </c>
      <c r="V691" s="250">
        <v>5802249</v>
      </c>
      <c r="W691" s="250">
        <v>5748257</v>
      </c>
      <c r="X691" s="250">
        <v>5669069</v>
      </c>
      <c r="Y691" s="293">
        <v>5179300</v>
      </c>
      <c r="Z691" s="294"/>
      <c r="AA691" s="251"/>
      <c r="AB691" s="251"/>
    </row>
    <row r="692" spans="1:28" s="295" customFormat="1" ht="78.75">
      <c r="A692" s="284">
        <v>561</v>
      </c>
      <c r="B692" s="284">
        <v>0</v>
      </c>
      <c r="C692" s="284" t="s">
        <v>1372</v>
      </c>
      <c r="D692" s="284" t="s">
        <v>3576</v>
      </c>
      <c r="E692" s="285" t="s">
        <v>2046</v>
      </c>
      <c r="F692" s="286" t="s">
        <v>1373</v>
      </c>
      <c r="G692" s="284">
        <v>120</v>
      </c>
      <c r="H692" s="284">
        <v>15</v>
      </c>
      <c r="I692" s="284">
        <v>0.95</v>
      </c>
      <c r="J692" s="287">
        <f>Y692*H692%*I692/G692*1000</f>
        <v>1818537.5</v>
      </c>
      <c r="K692" s="301">
        <v>3.5</v>
      </c>
      <c r="L692" s="289">
        <f>(Y692*K692%)/G692*1000</f>
        <v>446658.33333333343</v>
      </c>
      <c r="M692" s="301">
        <v>6</v>
      </c>
      <c r="N692" s="289">
        <f>(Y692*M692%)/G692*1000</f>
        <v>765700</v>
      </c>
      <c r="O692" s="302">
        <v>1.6</v>
      </c>
      <c r="P692" s="272" t="s">
        <v>433</v>
      </c>
      <c r="Q692" s="288">
        <v>1.07</v>
      </c>
      <c r="R692" s="289">
        <f>O692*dien*Q692</f>
        <v>1949.9680000000003</v>
      </c>
      <c r="S692" s="284" t="s">
        <v>1605</v>
      </c>
      <c r="T692" s="296">
        <f>Nii4+Nii6</f>
        <v>344359.6153846154</v>
      </c>
      <c r="U692" s="250">
        <f>ROUND((J692+L692+N692+R692+T692),0)+1</f>
        <v>3377206</v>
      </c>
      <c r="V692" s="250">
        <v>3426400</v>
      </c>
      <c r="W692" s="250">
        <v>3377206</v>
      </c>
      <c r="X692" s="250">
        <v>3305054</v>
      </c>
      <c r="Y692" s="293">
        <v>1531400</v>
      </c>
      <c r="Z692" s="294"/>
      <c r="AA692" s="251"/>
      <c r="AB692" s="251"/>
    </row>
    <row r="693" spans="1:28" s="295" customFormat="1" ht="15.75">
      <c r="A693" s="297"/>
      <c r="B693" s="284"/>
      <c r="C693" s="298"/>
      <c r="D693" s="284"/>
      <c r="E693" s="272"/>
      <c r="F693" s="149" t="s">
        <v>1374</v>
      </c>
      <c r="G693" s="284"/>
      <c r="H693" s="284"/>
      <c r="I693" s="284"/>
      <c r="J693" s="299"/>
      <c r="K693" s="301"/>
      <c r="L693" s="289"/>
      <c r="M693" s="301"/>
      <c r="N693" s="300"/>
      <c r="O693" s="302"/>
      <c r="P693" s="272"/>
      <c r="Q693" s="288"/>
      <c r="R693" s="300"/>
      <c r="S693" s="284"/>
      <c r="T693" s="296"/>
      <c r="U693" s="250"/>
      <c r="V693" s="250"/>
      <c r="W693" s="250"/>
      <c r="X693" s="250"/>
      <c r="Y693" s="293"/>
      <c r="Z693" s="385"/>
      <c r="AA693" s="251"/>
      <c r="AB693" s="251"/>
    </row>
    <row r="694" spans="1:28" s="295" customFormat="1" ht="45" customHeight="1">
      <c r="A694" s="284">
        <v>562</v>
      </c>
      <c r="B694" s="284">
        <v>0</v>
      </c>
      <c r="C694" s="284" t="s">
        <v>1375</v>
      </c>
      <c r="D694" s="284" t="s">
        <v>1140</v>
      </c>
      <c r="E694" s="285" t="s">
        <v>2047</v>
      </c>
      <c r="F694" s="286" t="s">
        <v>1376</v>
      </c>
      <c r="G694" s="284">
        <v>120</v>
      </c>
      <c r="H694" s="284">
        <v>15</v>
      </c>
      <c r="I694" s="284">
        <v>0.95</v>
      </c>
      <c r="J694" s="287">
        <f>Y694*H694%*I694/G694*1000</f>
        <v>4252081.25</v>
      </c>
      <c r="K694" s="301">
        <v>3.5</v>
      </c>
      <c r="L694" s="289">
        <f>(Y694*K694%)/G694*1000</f>
        <v>1044370.8333333334</v>
      </c>
      <c r="M694" s="301">
        <v>6</v>
      </c>
      <c r="N694" s="289">
        <f>(Y694*M694%)/G694*1000</f>
        <v>1790350</v>
      </c>
      <c r="O694" s="318" t="s">
        <v>1377</v>
      </c>
      <c r="P694" s="319" t="s">
        <v>1378</v>
      </c>
      <c r="Q694" s="312" t="s">
        <v>1379</v>
      </c>
      <c r="R694" s="289">
        <f>107.1*diezel*1.05+19.7*xang*1.03</f>
        <v>2549999.1873399997</v>
      </c>
      <c r="S694" s="284" t="s">
        <v>1380</v>
      </c>
      <c r="T694" s="296">
        <f>4*(Nii3+Nii4)+3*(Nii5+Nii6)+Nii7</f>
        <v>2424700.384615385</v>
      </c>
      <c r="U694" s="250">
        <f>ROUND((J694+L694+N694+R694+T694),0)-1</f>
        <v>12061501</v>
      </c>
      <c r="V694" s="250">
        <v>12407887</v>
      </c>
      <c r="W694" s="250">
        <v>12061501</v>
      </c>
      <c r="X694" s="250">
        <v>11553469</v>
      </c>
      <c r="Y694" s="293">
        <v>3580700</v>
      </c>
      <c r="Z694" s="294"/>
      <c r="AA694" s="251"/>
      <c r="AB694" s="251"/>
    </row>
    <row r="695" spans="1:28" s="295" customFormat="1" ht="31.5">
      <c r="A695" s="284">
        <v>563</v>
      </c>
      <c r="B695" s="284">
        <v>0</v>
      </c>
      <c r="C695" s="284" t="s">
        <v>1381</v>
      </c>
      <c r="D695" s="284" t="s">
        <v>3577</v>
      </c>
      <c r="E695" s="285" t="s">
        <v>2048</v>
      </c>
      <c r="F695" s="286" t="s">
        <v>1382</v>
      </c>
      <c r="G695" s="284">
        <v>120</v>
      </c>
      <c r="H695" s="284">
        <v>17</v>
      </c>
      <c r="I695" s="284">
        <v>0.95</v>
      </c>
      <c r="J695" s="287">
        <f>Y695*H695%*I695/G695*1000</f>
        <v>545062.5</v>
      </c>
      <c r="K695" s="301">
        <v>4.2</v>
      </c>
      <c r="L695" s="289">
        <f>(Y695*K695%)/G695*1000</f>
        <v>141750</v>
      </c>
      <c r="M695" s="301">
        <v>6</v>
      </c>
      <c r="N695" s="289">
        <f>(Y695*M695%)/G695*1000</f>
        <v>202500</v>
      </c>
      <c r="O695" s="302">
        <v>32.9</v>
      </c>
      <c r="P695" s="272" t="s">
        <v>294</v>
      </c>
      <c r="Q695" s="288">
        <v>1.03</v>
      </c>
      <c r="R695" s="289">
        <f>O695*xang*Q695</f>
        <v>656175.66868</v>
      </c>
      <c r="S695" s="292" t="s">
        <v>1383</v>
      </c>
      <c r="T695" s="296">
        <f>3*Nii3+2*Nii4+2*Nii6+Nii7</f>
        <v>1297549.6153846153</v>
      </c>
      <c r="U695" s="250">
        <f>ROUND((J695+L695+N695+R695+T695),0)</f>
        <v>2843038</v>
      </c>
      <c r="V695" s="250">
        <v>3028402</v>
      </c>
      <c r="W695" s="250">
        <v>2843038</v>
      </c>
      <c r="X695" s="250">
        <v>2571170</v>
      </c>
      <c r="Y695" s="293">
        <v>405000</v>
      </c>
      <c r="Z695" s="294"/>
      <c r="AA695" s="251"/>
      <c r="AB695" s="251"/>
    </row>
    <row r="696" spans="1:28" s="295" customFormat="1" ht="15.75">
      <c r="A696" s="297"/>
      <c r="B696" s="284"/>
      <c r="C696" s="298"/>
      <c r="D696" s="284"/>
      <c r="E696" s="272"/>
      <c r="F696" s="149" t="s">
        <v>1384</v>
      </c>
      <c r="G696" s="284"/>
      <c r="H696" s="284"/>
      <c r="I696" s="284"/>
      <c r="J696" s="299"/>
      <c r="K696" s="301"/>
      <c r="L696" s="289"/>
      <c r="M696" s="301"/>
      <c r="N696" s="300"/>
      <c r="O696" s="302"/>
      <c r="P696" s="272"/>
      <c r="Q696" s="288"/>
      <c r="R696" s="300"/>
      <c r="S696" s="292"/>
      <c r="T696" s="296"/>
      <c r="U696" s="250"/>
      <c r="V696" s="250"/>
      <c r="W696" s="250"/>
      <c r="X696" s="250"/>
      <c r="Y696" s="293"/>
      <c r="Z696" s="385"/>
      <c r="AA696" s="251"/>
      <c r="AB696" s="251"/>
    </row>
    <row r="697" spans="1:28" s="295" customFormat="1" ht="15.75">
      <c r="A697" s="284">
        <v>564</v>
      </c>
      <c r="B697" s="284" t="s">
        <v>730</v>
      </c>
      <c r="C697" s="284" t="s">
        <v>1385</v>
      </c>
      <c r="D697" s="284" t="s">
        <v>3578</v>
      </c>
      <c r="E697" s="285" t="s">
        <v>2049</v>
      </c>
      <c r="F697" s="286" t="s">
        <v>2270</v>
      </c>
      <c r="G697" s="284">
        <v>220</v>
      </c>
      <c r="H697" s="284">
        <v>15</v>
      </c>
      <c r="I697" s="284">
        <v>0.95</v>
      </c>
      <c r="J697" s="287">
        <f>Y697*H697%*I697/G697*1000</f>
        <v>589431.8181818181</v>
      </c>
      <c r="K697" s="301">
        <v>4.5</v>
      </c>
      <c r="L697" s="289">
        <f>(Y697*K697%)/G697*1000</f>
        <v>186136.36363636362</v>
      </c>
      <c r="M697" s="301">
        <v>5</v>
      </c>
      <c r="N697" s="289">
        <f>(Y697*M697%)/G697*1000</f>
        <v>206818.18181818182</v>
      </c>
      <c r="O697" s="302">
        <v>28.4</v>
      </c>
      <c r="P697" s="272" t="s">
        <v>3034</v>
      </c>
      <c r="Q697" s="288">
        <v>1.05</v>
      </c>
      <c r="R697" s="289">
        <f>O697*diezel*Q697</f>
        <v>572001.8724</v>
      </c>
      <c r="S697" s="284" t="s">
        <v>1321</v>
      </c>
      <c r="T697" s="296">
        <f>2*Nii3+Nii4</f>
        <v>397215</v>
      </c>
      <c r="U697" s="250">
        <f>ROUND((J697+L697+N697+R697+T697),0)</f>
        <v>1951603</v>
      </c>
      <c r="V697" s="250">
        <v>2008348</v>
      </c>
      <c r="W697" s="250">
        <v>1951603</v>
      </c>
      <c r="X697" s="250">
        <v>1868377</v>
      </c>
      <c r="Y697" s="293">
        <v>910000</v>
      </c>
      <c r="Z697" s="294"/>
      <c r="AA697" s="251"/>
      <c r="AB697" s="251"/>
    </row>
    <row r="698" spans="1:28" s="295" customFormat="1" ht="15.75">
      <c r="A698" s="297"/>
      <c r="B698" s="284"/>
      <c r="C698" s="298"/>
      <c r="D698" s="284"/>
      <c r="E698" s="272"/>
      <c r="F698" s="151" t="s">
        <v>2271</v>
      </c>
      <c r="G698" s="284"/>
      <c r="H698" s="284"/>
      <c r="I698" s="284"/>
      <c r="J698" s="299"/>
      <c r="K698" s="288"/>
      <c r="L698" s="289"/>
      <c r="M698" s="288"/>
      <c r="N698" s="300"/>
      <c r="O698" s="290"/>
      <c r="P698" s="291"/>
      <c r="Q698" s="288"/>
      <c r="R698" s="300"/>
      <c r="S698" s="292"/>
      <c r="T698" s="296"/>
      <c r="U698" s="250"/>
      <c r="V698" s="250"/>
      <c r="W698" s="250"/>
      <c r="X698" s="250"/>
      <c r="Y698" s="293"/>
      <c r="Z698" s="385"/>
      <c r="AA698" s="251"/>
      <c r="AB698" s="251"/>
    </row>
    <row r="699" spans="1:28" s="295" customFormat="1" ht="15.75">
      <c r="A699" s="284">
        <v>565</v>
      </c>
      <c r="B699" s="284">
        <v>0</v>
      </c>
      <c r="C699" s="284" t="s">
        <v>2272</v>
      </c>
      <c r="D699" s="284" t="s">
        <v>2969</v>
      </c>
      <c r="E699" s="285" t="s">
        <v>2050</v>
      </c>
      <c r="F699" s="286" t="s">
        <v>2273</v>
      </c>
      <c r="G699" s="284">
        <v>220</v>
      </c>
      <c r="H699" s="284">
        <v>17</v>
      </c>
      <c r="I699" s="284">
        <v>0.95</v>
      </c>
      <c r="J699" s="287">
        <f>Y699*H699%*I699/G699*1000</f>
        <v>566314.4318181818</v>
      </c>
      <c r="K699" s="288">
        <v>4.74</v>
      </c>
      <c r="L699" s="289">
        <f>(Y699*K699%)/G699*1000</f>
        <v>166212.40909090912</v>
      </c>
      <c r="M699" s="288">
        <v>5</v>
      </c>
      <c r="N699" s="289">
        <f>(Y699*M699%)/G699*1000</f>
        <v>175329.54545454547</v>
      </c>
      <c r="O699" s="290">
        <v>45</v>
      </c>
      <c r="P699" s="291" t="s">
        <v>1590</v>
      </c>
      <c r="Q699" s="288">
        <v>1.05</v>
      </c>
      <c r="R699" s="289">
        <f>O699*diezel*Q699</f>
        <v>906340.9950000001</v>
      </c>
      <c r="S699" s="292" t="s">
        <v>2274</v>
      </c>
      <c r="T699" s="296">
        <f>'Nhan cong'!M$35+'Nhan cong'!M$42+'Nhan cong'!M$46</f>
        <v>424183.8461538461</v>
      </c>
      <c r="U699" s="250">
        <f>ROUND((J699+L699+N699+R699+T699),0)</f>
        <v>2238381</v>
      </c>
      <c r="V699" s="250">
        <v>2298979</v>
      </c>
      <c r="W699" s="250">
        <v>2238381</v>
      </c>
      <c r="X699" s="250">
        <v>2149504</v>
      </c>
      <c r="Y699" s="293">
        <v>771450</v>
      </c>
      <c r="Z699" s="294"/>
      <c r="AA699" s="251"/>
      <c r="AB699" s="251"/>
    </row>
    <row r="700" spans="1:28" s="295" customFormat="1" ht="15.75">
      <c r="A700" s="284">
        <v>566</v>
      </c>
      <c r="B700" s="284">
        <v>0</v>
      </c>
      <c r="C700" s="284" t="s">
        <v>2275</v>
      </c>
      <c r="D700" s="284" t="s">
        <v>2974</v>
      </c>
      <c r="E700" s="285" t="s">
        <v>2051</v>
      </c>
      <c r="F700" s="286" t="s">
        <v>2276</v>
      </c>
      <c r="G700" s="284">
        <v>220</v>
      </c>
      <c r="H700" s="284">
        <v>17</v>
      </c>
      <c r="I700" s="284">
        <v>0.95</v>
      </c>
      <c r="J700" s="287">
        <f>Y700*H700%*I700/G700*1000</f>
        <v>720913.9772727272</v>
      </c>
      <c r="K700" s="288">
        <v>4.4</v>
      </c>
      <c r="L700" s="289">
        <f>(Y700*K700%)/G700*1000</f>
        <v>196410.00000000003</v>
      </c>
      <c r="M700" s="288">
        <v>5</v>
      </c>
      <c r="N700" s="289">
        <f>(Y700*M700%)/G700*1000</f>
        <v>223193.18181818182</v>
      </c>
      <c r="O700" s="290">
        <v>56.4</v>
      </c>
      <c r="P700" s="291" t="s">
        <v>1590</v>
      </c>
      <c r="Q700" s="288">
        <v>1.05</v>
      </c>
      <c r="R700" s="289">
        <f>O700*diezel*Q700</f>
        <v>1135947.3804000001</v>
      </c>
      <c r="S700" s="292" t="s">
        <v>2274</v>
      </c>
      <c r="T700" s="296">
        <f>'Nhan cong'!M$35+'Nhan cong'!M$42+'Nhan cong'!M$46</f>
        <v>424183.8461538461</v>
      </c>
      <c r="U700" s="250">
        <f>ROUND((J700+L700+N700+R700+T700),0)</f>
        <v>2700648</v>
      </c>
      <c r="V700" s="250">
        <v>2761247</v>
      </c>
      <c r="W700" s="250">
        <v>2700648</v>
      </c>
      <c r="X700" s="250">
        <v>2611772</v>
      </c>
      <c r="Y700" s="293">
        <v>982050</v>
      </c>
      <c r="Z700" s="294"/>
      <c r="AA700" s="251"/>
      <c r="AB700" s="251"/>
    </row>
    <row r="701" spans="1:28" s="295" customFormat="1" ht="15.75">
      <c r="A701" s="284">
        <v>567</v>
      </c>
      <c r="B701" s="284">
        <v>0</v>
      </c>
      <c r="C701" s="284" t="s">
        <v>2277</v>
      </c>
      <c r="D701" s="284" t="s">
        <v>2978</v>
      </c>
      <c r="E701" s="285" t="s">
        <v>2052</v>
      </c>
      <c r="F701" s="286" t="s">
        <v>2278</v>
      </c>
      <c r="G701" s="284">
        <v>220</v>
      </c>
      <c r="H701" s="284">
        <v>17</v>
      </c>
      <c r="I701" s="284">
        <v>0.95</v>
      </c>
      <c r="J701" s="287">
        <f>Y701*H701%*I701/G701*1000</f>
        <v>789991.9318181818</v>
      </c>
      <c r="K701" s="288">
        <v>4.4</v>
      </c>
      <c r="L701" s="289">
        <f>(Y701*K701%)/G701*1000</f>
        <v>215230.00000000003</v>
      </c>
      <c r="M701" s="288">
        <v>5</v>
      </c>
      <c r="N701" s="289">
        <f>(Y701*M701%)/G701*1000</f>
        <v>244579.54545454547</v>
      </c>
      <c r="O701" s="290">
        <v>58.5</v>
      </c>
      <c r="P701" s="291" t="s">
        <v>1590</v>
      </c>
      <c r="Q701" s="288">
        <v>1.05</v>
      </c>
      <c r="R701" s="289">
        <f>O701*diezel*Q701</f>
        <v>1178243.2935</v>
      </c>
      <c r="S701" s="292" t="s">
        <v>2279</v>
      </c>
      <c r="T701" s="296">
        <f>'Nhan cong'!M$35+'Nhan cong'!M$42+'Nhan cong'!M$49</f>
        <v>452170.3846153846</v>
      </c>
      <c r="U701" s="250">
        <f>ROUND((J701+L701+N701+R701+T701),0)-1</f>
        <v>2880214</v>
      </c>
      <c r="V701" s="250">
        <v>2944811</v>
      </c>
      <c r="W701" s="250">
        <v>2880214</v>
      </c>
      <c r="X701" s="250">
        <v>2785475</v>
      </c>
      <c r="Y701" s="293">
        <v>1076150</v>
      </c>
      <c r="Z701" s="294"/>
      <c r="AA701" s="251"/>
      <c r="AB701" s="251"/>
    </row>
    <row r="702" spans="1:28" s="295" customFormat="1" ht="15.75">
      <c r="A702" s="284">
        <v>568</v>
      </c>
      <c r="B702" s="284">
        <v>0</v>
      </c>
      <c r="C702" s="284" t="s">
        <v>2280</v>
      </c>
      <c r="D702" s="284" t="s">
        <v>2982</v>
      </c>
      <c r="E702" s="285" t="s">
        <v>2053</v>
      </c>
      <c r="F702" s="286" t="s">
        <v>1705</v>
      </c>
      <c r="G702" s="284">
        <v>220</v>
      </c>
      <c r="H702" s="284">
        <v>16</v>
      </c>
      <c r="I702" s="284">
        <v>0.95</v>
      </c>
      <c r="J702" s="287">
        <f>Y702*H702%*I702/G702*1000</f>
        <v>1418989.0909090906</v>
      </c>
      <c r="K702" s="288">
        <v>3.88</v>
      </c>
      <c r="L702" s="289">
        <f>(Y702*K702%)/G702*1000</f>
        <v>362215.63636363635</v>
      </c>
      <c r="M702" s="288">
        <v>5</v>
      </c>
      <c r="N702" s="289">
        <f>(Y702*M702%)/G702*1000</f>
        <v>466772.72727272724</v>
      </c>
      <c r="O702" s="290">
        <v>61.5</v>
      </c>
      <c r="P702" s="291" t="s">
        <v>1590</v>
      </c>
      <c r="Q702" s="288">
        <v>1.05</v>
      </c>
      <c r="R702" s="289">
        <f>O702*diezel*Q702</f>
        <v>1238666.0265</v>
      </c>
      <c r="S702" s="292" t="s">
        <v>2281</v>
      </c>
      <c r="T702" s="296">
        <f>'Nhan cong'!M$35*2+'Nhan cong'!M$42+'Nhan cong'!M$49</f>
        <v>559981.1538461539</v>
      </c>
      <c r="U702" s="250">
        <f>ROUND((J702+L702+N702+R702+T702),0)-1</f>
        <v>4046624</v>
      </c>
      <c r="V702" s="250">
        <v>4126621</v>
      </c>
      <c r="W702" s="250">
        <v>4046624</v>
      </c>
      <c r="X702" s="250">
        <v>3929295</v>
      </c>
      <c r="Y702" s="293">
        <v>2053800</v>
      </c>
      <c r="Z702" s="294"/>
      <c r="AA702" s="251"/>
      <c r="AB702" s="251"/>
    </row>
    <row r="703" spans="1:28" s="295" customFormat="1" ht="15.75">
      <c r="A703" s="284">
        <v>569</v>
      </c>
      <c r="B703" s="284">
        <v>0</v>
      </c>
      <c r="C703" s="284" t="s">
        <v>2282</v>
      </c>
      <c r="D703" s="284" t="s">
        <v>2986</v>
      </c>
      <c r="E703" s="285" t="s">
        <v>2054</v>
      </c>
      <c r="F703" s="286" t="s">
        <v>2283</v>
      </c>
      <c r="G703" s="284">
        <v>220</v>
      </c>
      <c r="H703" s="284">
        <v>16</v>
      </c>
      <c r="I703" s="284">
        <v>0.95</v>
      </c>
      <c r="J703" s="287">
        <f>Y703*H703%*I703/G703*1000</f>
        <v>1658389.0909090908</v>
      </c>
      <c r="K703" s="288">
        <v>3.88</v>
      </c>
      <c r="L703" s="289">
        <f>(Y703*K703%)/G703*1000</f>
        <v>423325.63636363635</v>
      </c>
      <c r="M703" s="288">
        <v>5</v>
      </c>
      <c r="N703" s="289">
        <f>(Y703*M703%)/G703*1000</f>
        <v>545522.7272727273</v>
      </c>
      <c r="O703" s="290">
        <v>64.5</v>
      </c>
      <c r="P703" s="291" t="s">
        <v>1590</v>
      </c>
      <c r="Q703" s="288">
        <v>1.05</v>
      </c>
      <c r="R703" s="289">
        <f>O703*diezel*Q703</f>
        <v>1299088.7595</v>
      </c>
      <c r="S703" s="292" t="s">
        <v>2281</v>
      </c>
      <c r="T703" s="296">
        <f>'Nhan cong'!M$35*2+'Nhan cong'!M$42+'Nhan cong'!M$49</f>
        <v>559981.1538461539</v>
      </c>
      <c r="U703" s="250">
        <f>ROUND((J703+L703+N703+R703+T703),0)</f>
        <v>4486307</v>
      </c>
      <c r="V703" s="250">
        <v>4566304</v>
      </c>
      <c r="W703" s="250">
        <v>4486307</v>
      </c>
      <c r="X703" s="250">
        <v>4368978</v>
      </c>
      <c r="Y703" s="293">
        <v>2400300</v>
      </c>
      <c r="Z703" s="294"/>
      <c r="AA703" s="251"/>
      <c r="AB703" s="251"/>
    </row>
    <row r="704" spans="1:28" s="295" customFormat="1" ht="15" customHeight="1">
      <c r="A704" s="297"/>
      <c r="B704" s="284"/>
      <c r="C704" s="298"/>
      <c r="D704" s="284"/>
      <c r="E704" s="272"/>
      <c r="F704" s="151" t="s">
        <v>2284</v>
      </c>
      <c r="G704" s="284"/>
      <c r="H704" s="284"/>
      <c r="I704" s="284"/>
      <c r="J704" s="299"/>
      <c r="K704" s="288"/>
      <c r="L704" s="289"/>
      <c r="M704" s="288"/>
      <c r="N704" s="300"/>
      <c r="O704" s="290"/>
      <c r="P704" s="291"/>
      <c r="Q704" s="288"/>
      <c r="R704" s="300"/>
      <c r="S704" s="292"/>
      <c r="T704" s="296"/>
      <c r="U704" s="250"/>
      <c r="V704" s="250"/>
      <c r="W704" s="250"/>
      <c r="X704" s="250"/>
      <c r="Y704" s="293"/>
      <c r="Z704" s="385"/>
      <c r="AA704" s="251"/>
      <c r="AB704" s="251"/>
    </row>
    <row r="705" spans="1:28" s="295" customFormat="1" ht="39" customHeight="1">
      <c r="A705" s="284">
        <v>570</v>
      </c>
      <c r="B705" s="284">
        <v>0</v>
      </c>
      <c r="C705" s="284" t="s">
        <v>2285</v>
      </c>
      <c r="D705" s="284" t="s">
        <v>2920</v>
      </c>
      <c r="E705" s="285" t="s">
        <v>118</v>
      </c>
      <c r="F705" s="286" t="s">
        <v>1783</v>
      </c>
      <c r="G705" s="284">
        <v>220</v>
      </c>
      <c r="H705" s="284">
        <v>16</v>
      </c>
      <c r="I705" s="284">
        <v>0.95</v>
      </c>
      <c r="J705" s="287">
        <f aca="true" t="shared" si="159" ref="J705:J711">Y705*H705%*I705/G705*1000</f>
        <v>349323.63636363635</v>
      </c>
      <c r="K705" s="288">
        <v>3.88</v>
      </c>
      <c r="L705" s="289">
        <f aca="true" t="shared" si="160" ref="L705:L711">(Y705*K705%)/G705*1000</f>
        <v>89169.45454545454</v>
      </c>
      <c r="M705" s="288">
        <v>5</v>
      </c>
      <c r="N705" s="289">
        <f aca="true" t="shared" si="161" ref="N705:N711">(Y705*M705%)/G705*1000</f>
        <v>114909.09090909091</v>
      </c>
      <c r="O705" s="310" t="s">
        <v>2286</v>
      </c>
      <c r="P705" s="319" t="s">
        <v>2287</v>
      </c>
      <c r="Q705" s="312" t="s">
        <v>2288</v>
      </c>
      <c r="R705" s="289">
        <f>24*diezel*1.05+14.12*dien*1.07</f>
        <v>500590.3316</v>
      </c>
      <c r="S705" s="292" t="s">
        <v>2289</v>
      </c>
      <c r="T705" s="296">
        <f>'Nhan cong'!M$35+'Nhan cong'!M$38+'Nhan cong'!M$42</f>
        <v>379405.3846153846</v>
      </c>
      <c r="U705" s="250">
        <f>ROUND((J705+L705+N705+R705+T705),0)-1</f>
        <v>1433397</v>
      </c>
      <c r="V705" s="250">
        <v>1487598</v>
      </c>
      <c r="W705" s="250">
        <v>1433397</v>
      </c>
      <c r="X705" s="250">
        <v>1353903</v>
      </c>
      <c r="Y705" s="293">
        <v>505600</v>
      </c>
      <c r="Z705" s="294"/>
      <c r="AA705" s="251"/>
      <c r="AB705" s="251"/>
    </row>
    <row r="706" spans="1:28" s="295" customFormat="1" ht="31.5" customHeight="1">
      <c r="A706" s="284">
        <v>571</v>
      </c>
      <c r="B706" s="284">
        <v>0</v>
      </c>
      <c r="C706" s="284" t="s">
        <v>2290</v>
      </c>
      <c r="D706" s="284" t="s">
        <v>2924</v>
      </c>
      <c r="E706" s="285" t="s">
        <v>119</v>
      </c>
      <c r="F706" s="286" t="s">
        <v>2291</v>
      </c>
      <c r="G706" s="284">
        <v>220</v>
      </c>
      <c r="H706" s="284">
        <v>16</v>
      </c>
      <c r="I706" s="284">
        <v>0.95</v>
      </c>
      <c r="J706" s="287">
        <f t="shared" si="159"/>
        <v>513829.0909090908</v>
      </c>
      <c r="K706" s="288">
        <v>3.88</v>
      </c>
      <c r="L706" s="289">
        <f t="shared" si="160"/>
        <v>131161.63636363638</v>
      </c>
      <c r="M706" s="288">
        <v>5</v>
      </c>
      <c r="N706" s="289">
        <f t="shared" si="161"/>
        <v>169022.7272727273</v>
      </c>
      <c r="O706" s="310" t="s">
        <v>2292</v>
      </c>
      <c r="P706" s="319" t="s">
        <v>2287</v>
      </c>
      <c r="Q706" s="312" t="s">
        <v>2288</v>
      </c>
      <c r="R706" s="289">
        <f>30*diezel*1.05+14.12*dien*1.07</f>
        <v>621435.7975999999</v>
      </c>
      <c r="S706" s="292" t="s">
        <v>2293</v>
      </c>
      <c r="T706" s="296">
        <f>'Nhan cong'!M$35+'Nhan cong'!M$38+'Nhan cong'!M$46</f>
        <v>403830</v>
      </c>
      <c r="U706" s="250">
        <f>ROUND((J706+L706+N706+R706+T706),0)</f>
        <v>1839279</v>
      </c>
      <c r="V706" s="250">
        <v>1896969</v>
      </c>
      <c r="W706" s="250">
        <v>1839279</v>
      </c>
      <c r="X706" s="250">
        <v>1754667</v>
      </c>
      <c r="Y706" s="293">
        <v>743700</v>
      </c>
      <c r="Z706" s="294"/>
      <c r="AA706" s="251"/>
      <c r="AB706" s="251"/>
    </row>
    <row r="707" spans="1:28" s="295" customFormat="1" ht="35.25" customHeight="1">
      <c r="A707" s="284">
        <v>572</v>
      </c>
      <c r="B707" s="284">
        <v>0</v>
      </c>
      <c r="C707" s="284" t="s">
        <v>2294</v>
      </c>
      <c r="D707" s="284" t="s">
        <v>2929</v>
      </c>
      <c r="E707" s="285" t="s">
        <v>3127</v>
      </c>
      <c r="F707" s="286" t="s">
        <v>2295</v>
      </c>
      <c r="G707" s="284">
        <v>220</v>
      </c>
      <c r="H707" s="284">
        <v>14</v>
      </c>
      <c r="I707" s="284">
        <v>0.95</v>
      </c>
      <c r="J707" s="287">
        <f t="shared" si="159"/>
        <v>553219.5454545455</v>
      </c>
      <c r="K707" s="288">
        <v>3.52</v>
      </c>
      <c r="L707" s="289">
        <f t="shared" si="160"/>
        <v>146416</v>
      </c>
      <c r="M707" s="288">
        <v>5</v>
      </c>
      <c r="N707" s="289">
        <f t="shared" si="161"/>
        <v>207977.2727272727</v>
      </c>
      <c r="O707" s="310" t="s">
        <v>2296</v>
      </c>
      <c r="P707" s="319" t="s">
        <v>2287</v>
      </c>
      <c r="Q707" s="312" t="s">
        <v>2288</v>
      </c>
      <c r="R707" s="289">
        <f>33*diezel*1.05+14.12*dien*1.07</f>
        <v>681858.5305999999</v>
      </c>
      <c r="S707" s="292" t="s">
        <v>2293</v>
      </c>
      <c r="T707" s="296">
        <f>'Nhan cong'!M$35+'Nhan cong'!M$38+'Nhan cong'!M$46</f>
        <v>403830</v>
      </c>
      <c r="U707" s="250">
        <f>ROUND((J707+L707+N707+R707+T707),0)+1</f>
        <v>1993302</v>
      </c>
      <c r="V707" s="250">
        <v>2050992</v>
      </c>
      <c r="W707" s="250">
        <v>1993302</v>
      </c>
      <c r="X707" s="250">
        <v>1908690</v>
      </c>
      <c r="Y707" s="293">
        <v>915100</v>
      </c>
      <c r="Z707" s="294"/>
      <c r="AA707" s="251"/>
      <c r="AB707" s="251"/>
    </row>
    <row r="708" spans="1:28" s="295" customFormat="1" ht="33.75" customHeight="1">
      <c r="A708" s="284">
        <v>573</v>
      </c>
      <c r="B708" s="284">
        <v>0</v>
      </c>
      <c r="C708" s="284" t="s">
        <v>2297</v>
      </c>
      <c r="D708" s="284" t="s">
        <v>2933</v>
      </c>
      <c r="E708" s="285" t="s">
        <v>3128</v>
      </c>
      <c r="F708" s="286" t="s">
        <v>2855</v>
      </c>
      <c r="G708" s="284">
        <v>220</v>
      </c>
      <c r="H708" s="284">
        <v>14</v>
      </c>
      <c r="I708" s="284">
        <v>0.95</v>
      </c>
      <c r="J708" s="287">
        <f t="shared" si="159"/>
        <v>595356.3636363636</v>
      </c>
      <c r="K708" s="288">
        <v>3.52</v>
      </c>
      <c r="L708" s="289">
        <f t="shared" si="160"/>
        <v>157567.99999999997</v>
      </c>
      <c r="M708" s="288">
        <v>5</v>
      </c>
      <c r="N708" s="289">
        <f t="shared" si="161"/>
        <v>223818.18181818182</v>
      </c>
      <c r="O708" s="310" t="s">
        <v>2298</v>
      </c>
      <c r="P708" s="319" t="s">
        <v>2287</v>
      </c>
      <c r="Q708" s="312" t="s">
        <v>2288</v>
      </c>
      <c r="R708" s="289">
        <f>36*diezel*1.05+25.42*dien*1.07</f>
        <v>756052.9126</v>
      </c>
      <c r="S708" s="292" t="s">
        <v>2299</v>
      </c>
      <c r="T708" s="296">
        <f>'Nhan cong'!M$35*2+'Nhan cong'!M$38+'Nhan cong'!M$49</f>
        <v>539627.3076923077</v>
      </c>
      <c r="U708" s="250">
        <f>ROUND((J708+L708+N708+R708+T708),0)</f>
        <v>2272423</v>
      </c>
      <c r="V708" s="250">
        <v>2349513</v>
      </c>
      <c r="W708" s="250">
        <v>2272423</v>
      </c>
      <c r="X708" s="250">
        <v>2159359</v>
      </c>
      <c r="Y708" s="293">
        <v>984800</v>
      </c>
      <c r="Z708" s="294"/>
      <c r="AA708" s="251"/>
      <c r="AB708" s="251"/>
    </row>
    <row r="709" spans="1:28" s="295" customFormat="1" ht="39" customHeight="1">
      <c r="A709" s="284">
        <v>574</v>
      </c>
      <c r="B709" s="284">
        <v>0</v>
      </c>
      <c r="C709" s="284" t="s">
        <v>2300</v>
      </c>
      <c r="D709" s="284" t="s">
        <v>2937</v>
      </c>
      <c r="E709" s="285" t="s">
        <v>3129</v>
      </c>
      <c r="F709" s="286" t="s">
        <v>2858</v>
      </c>
      <c r="G709" s="284">
        <v>220</v>
      </c>
      <c r="H709" s="284">
        <v>14</v>
      </c>
      <c r="I709" s="284">
        <v>0.95</v>
      </c>
      <c r="J709" s="287">
        <f t="shared" si="159"/>
        <v>670682.7272727273</v>
      </c>
      <c r="K709" s="288">
        <v>3.52</v>
      </c>
      <c r="L709" s="289">
        <f t="shared" si="160"/>
        <v>177504.00000000003</v>
      </c>
      <c r="M709" s="288">
        <v>5</v>
      </c>
      <c r="N709" s="289">
        <f t="shared" si="161"/>
        <v>252136.36363636362</v>
      </c>
      <c r="O709" s="310" t="s">
        <v>2301</v>
      </c>
      <c r="P709" s="319" t="s">
        <v>2287</v>
      </c>
      <c r="Q709" s="312" t="s">
        <v>2288</v>
      </c>
      <c r="R709" s="289">
        <f>48*diezel*1.05+25.42*dien*1.07</f>
        <v>997743.8446</v>
      </c>
      <c r="S709" s="292" t="s">
        <v>2299</v>
      </c>
      <c r="T709" s="296">
        <f>'Nhan cong'!M$35*2+'Nhan cong'!M$38+'Nhan cong'!M$49</f>
        <v>539627.3076923077</v>
      </c>
      <c r="U709" s="250">
        <f>ROUND((J709+L709+N709+R709+T709),0)</f>
        <v>2637694</v>
      </c>
      <c r="V709" s="250">
        <v>2714784</v>
      </c>
      <c r="W709" s="250">
        <v>2637694</v>
      </c>
      <c r="X709" s="250">
        <v>2524630</v>
      </c>
      <c r="Y709" s="293">
        <v>1109400</v>
      </c>
      <c r="Z709" s="294"/>
      <c r="AA709" s="251"/>
      <c r="AB709" s="251"/>
    </row>
    <row r="710" spans="1:28" s="295" customFormat="1" ht="34.5" customHeight="1">
      <c r="A710" s="284">
        <v>575</v>
      </c>
      <c r="B710" s="284">
        <v>0</v>
      </c>
      <c r="C710" s="284" t="s">
        <v>2302</v>
      </c>
      <c r="D710" s="284"/>
      <c r="E710" s="285" t="s">
        <v>3131</v>
      </c>
      <c r="F710" s="286" t="s">
        <v>2303</v>
      </c>
      <c r="G710" s="284">
        <v>220</v>
      </c>
      <c r="H710" s="284">
        <v>14</v>
      </c>
      <c r="I710" s="284">
        <v>0.95</v>
      </c>
      <c r="J710" s="287">
        <f t="shared" si="159"/>
        <v>828287.7272727273</v>
      </c>
      <c r="K710" s="288">
        <v>3.52</v>
      </c>
      <c r="L710" s="289">
        <f t="shared" si="160"/>
        <v>219216</v>
      </c>
      <c r="M710" s="288">
        <v>5</v>
      </c>
      <c r="N710" s="289">
        <f t="shared" si="161"/>
        <v>311386.36363636365</v>
      </c>
      <c r="O710" s="310" t="s">
        <v>2304</v>
      </c>
      <c r="P710" s="319" t="s">
        <v>2287</v>
      </c>
      <c r="Q710" s="312" t="s">
        <v>2288</v>
      </c>
      <c r="R710" s="289">
        <f>63*diezel*1.05+33.75*dien*1.07</f>
        <v>1310009.5304999999</v>
      </c>
      <c r="S710" s="292" t="s">
        <v>2299</v>
      </c>
      <c r="T710" s="296">
        <f>'Nhan cong'!M$35*2+'Nhan cong'!M$38+'Nhan cong'!M$49</f>
        <v>539627.3076923077</v>
      </c>
      <c r="U710" s="250">
        <f>ROUND((J710+L710+N710+R710+T710),0)</f>
        <v>3208527</v>
      </c>
      <c r="V710" s="250">
        <v>3285617</v>
      </c>
      <c r="W710" s="250">
        <v>3208527</v>
      </c>
      <c r="X710" s="250">
        <v>3095463</v>
      </c>
      <c r="Y710" s="293">
        <v>1370100</v>
      </c>
      <c r="Z710" s="294"/>
      <c r="AA710" s="251"/>
      <c r="AB710" s="251"/>
    </row>
    <row r="711" spans="1:28" s="295" customFormat="1" ht="30" customHeight="1">
      <c r="A711" s="284">
        <v>576</v>
      </c>
      <c r="B711" s="284">
        <v>0</v>
      </c>
      <c r="C711" s="284" t="s">
        <v>2305</v>
      </c>
      <c r="D711" s="284" t="s">
        <v>2941</v>
      </c>
      <c r="E711" s="285" t="s">
        <v>3130</v>
      </c>
      <c r="F711" s="286" t="s">
        <v>2306</v>
      </c>
      <c r="G711" s="284">
        <v>220</v>
      </c>
      <c r="H711" s="284">
        <v>14</v>
      </c>
      <c r="I711" s="284">
        <v>0.95</v>
      </c>
      <c r="J711" s="287">
        <f t="shared" si="159"/>
        <v>987585.4545454546</v>
      </c>
      <c r="K711" s="288">
        <v>3.52</v>
      </c>
      <c r="L711" s="289">
        <f t="shared" si="160"/>
        <v>261376.00000000003</v>
      </c>
      <c r="M711" s="288">
        <v>5</v>
      </c>
      <c r="N711" s="289">
        <f t="shared" si="161"/>
        <v>371272.72727272724</v>
      </c>
      <c r="O711" s="310" t="s">
        <v>2307</v>
      </c>
      <c r="P711" s="319" t="s">
        <v>2287</v>
      </c>
      <c r="Q711" s="312" t="s">
        <v>2288</v>
      </c>
      <c r="R711" s="289">
        <f>78*diezel*1.05+33.75*dien*1.07</f>
        <v>1612123.1955</v>
      </c>
      <c r="S711" s="292" t="s">
        <v>2299</v>
      </c>
      <c r="T711" s="296">
        <f>'Nhan cong'!M$35*2+'Nhan cong'!M$38+'Nhan cong'!M$49</f>
        <v>539627.3076923077</v>
      </c>
      <c r="U711" s="250">
        <f>ROUND((J711+L711+N711+R711+T711),0)-1</f>
        <v>3771984</v>
      </c>
      <c r="V711" s="250">
        <v>3849074</v>
      </c>
      <c r="W711" s="250">
        <v>3771984</v>
      </c>
      <c r="X711" s="250">
        <v>3658920</v>
      </c>
      <c r="Y711" s="293">
        <v>1633600</v>
      </c>
      <c r="Z711" s="294"/>
      <c r="AA711" s="251"/>
      <c r="AB711" s="251"/>
    </row>
    <row r="712" spans="1:28" s="295" customFormat="1" ht="15.75">
      <c r="A712" s="297"/>
      <c r="B712" s="284"/>
      <c r="C712" s="298"/>
      <c r="D712" s="284"/>
      <c r="E712" s="272"/>
      <c r="F712" s="151" t="s">
        <v>2308</v>
      </c>
      <c r="G712" s="284"/>
      <c r="H712" s="284"/>
      <c r="I712" s="284"/>
      <c r="J712" s="299"/>
      <c r="K712" s="288"/>
      <c r="L712" s="289"/>
      <c r="M712" s="288"/>
      <c r="N712" s="300"/>
      <c r="O712" s="310"/>
      <c r="P712" s="319"/>
      <c r="Q712" s="288"/>
      <c r="R712" s="314"/>
      <c r="S712" s="292"/>
      <c r="T712" s="296"/>
      <c r="U712" s="250"/>
      <c r="V712" s="250"/>
      <c r="W712" s="250"/>
      <c r="X712" s="250"/>
      <c r="Y712" s="293"/>
      <c r="Z712" s="385"/>
      <c r="AA712" s="251"/>
      <c r="AB712" s="251"/>
    </row>
    <row r="713" spans="1:28" s="295" customFormat="1" ht="15.75">
      <c r="A713" s="284">
        <v>577</v>
      </c>
      <c r="B713" s="284">
        <v>0</v>
      </c>
      <c r="C713" s="284" t="s">
        <v>2309</v>
      </c>
      <c r="D713" s="284" t="s">
        <v>3021</v>
      </c>
      <c r="E713" s="285" t="s">
        <v>2055</v>
      </c>
      <c r="F713" s="286" t="s">
        <v>1290</v>
      </c>
      <c r="G713" s="284">
        <v>220</v>
      </c>
      <c r="H713" s="284">
        <v>16</v>
      </c>
      <c r="I713" s="284">
        <v>0.95</v>
      </c>
      <c r="J713" s="287">
        <f>Y713*H713%*I713/G713*1000</f>
        <v>753401.8181818181</v>
      </c>
      <c r="K713" s="288">
        <v>4.8</v>
      </c>
      <c r="L713" s="289">
        <f>(Y713*K713%)/G713*1000</f>
        <v>237916.36363636362</v>
      </c>
      <c r="M713" s="288">
        <v>5</v>
      </c>
      <c r="N713" s="289">
        <f>(Y713*M713%)/G713*1000</f>
        <v>247829.54545454547</v>
      </c>
      <c r="O713" s="290">
        <v>39.6</v>
      </c>
      <c r="P713" s="291" t="s">
        <v>1590</v>
      </c>
      <c r="Q713" s="288">
        <v>1.05</v>
      </c>
      <c r="R713" s="289">
        <f>O713*diezel*Q713</f>
        <v>797580.0756000001</v>
      </c>
      <c r="S713" s="292" t="s">
        <v>2310</v>
      </c>
      <c r="T713" s="296">
        <f>'Nhan cong'!M$38+'Nhan cong'!M$46+'Nhan cong'!M$49</f>
        <v>494404.6153846154</v>
      </c>
      <c r="U713" s="250">
        <f>ROUND((J713+L713+N713+R713+T713),0)</f>
        <v>2531132</v>
      </c>
      <c r="V713" s="250">
        <v>2601762</v>
      </c>
      <c r="W713" s="250">
        <v>2531132</v>
      </c>
      <c r="X713" s="250">
        <v>2427543</v>
      </c>
      <c r="Y713" s="293">
        <v>1090450</v>
      </c>
      <c r="Z713" s="294"/>
      <c r="AA713" s="251"/>
      <c r="AB713" s="251"/>
    </row>
    <row r="714" spans="1:28" s="295" customFormat="1" ht="15.75">
      <c r="A714" s="297"/>
      <c r="B714" s="284"/>
      <c r="C714" s="298"/>
      <c r="D714" s="284"/>
      <c r="E714" s="272"/>
      <c r="F714" s="151" t="s">
        <v>2311</v>
      </c>
      <c r="G714" s="284"/>
      <c r="H714" s="284"/>
      <c r="I714" s="284"/>
      <c r="J714" s="299"/>
      <c r="K714" s="288"/>
      <c r="L714" s="289"/>
      <c r="M714" s="288"/>
      <c r="N714" s="300"/>
      <c r="O714" s="290"/>
      <c r="P714" s="291"/>
      <c r="Q714" s="288"/>
      <c r="R714" s="300"/>
      <c r="S714" s="292"/>
      <c r="T714" s="296"/>
      <c r="U714" s="250"/>
      <c r="V714" s="250"/>
      <c r="W714" s="250"/>
      <c r="X714" s="250"/>
      <c r="Y714" s="293"/>
      <c r="Z714" s="385"/>
      <c r="AA714" s="251"/>
      <c r="AB714" s="251"/>
    </row>
    <row r="715" spans="1:28" s="295" customFormat="1" ht="15.75">
      <c r="A715" s="284">
        <v>578</v>
      </c>
      <c r="B715" s="284" t="s">
        <v>3785</v>
      </c>
      <c r="C715" s="284" t="s">
        <v>2312</v>
      </c>
      <c r="D715" s="284" t="s">
        <v>3016</v>
      </c>
      <c r="E715" s="285" t="s">
        <v>2056</v>
      </c>
      <c r="F715" s="286" t="s">
        <v>2180</v>
      </c>
      <c r="G715" s="284">
        <v>200</v>
      </c>
      <c r="H715" s="284">
        <v>17</v>
      </c>
      <c r="I715" s="284">
        <v>0.95</v>
      </c>
      <c r="J715" s="287">
        <f>Y715*H715%*I715/G715*1000</f>
        <v>86564</v>
      </c>
      <c r="K715" s="288">
        <v>3.81</v>
      </c>
      <c r="L715" s="289">
        <f>(Y715*K715%)/G715*1000</f>
        <v>20421.600000000002</v>
      </c>
      <c r="M715" s="288">
        <v>5</v>
      </c>
      <c r="N715" s="289">
        <f>(Y715*M715%)/G715*1000</f>
        <v>26800</v>
      </c>
      <c r="O715" s="290">
        <v>108</v>
      </c>
      <c r="P715" s="291" t="s">
        <v>433</v>
      </c>
      <c r="Q715" s="288">
        <v>1.07</v>
      </c>
      <c r="R715" s="289">
        <f>O715*dien*Q715</f>
        <v>131622.84</v>
      </c>
      <c r="S715" s="292" t="s">
        <v>1183</v>
      </c>
      <c r="T715" s="296">
        <f>'Nhan cong'!M$38+'Nhan cong'!M$42</f>
        <v>271594.6153846154</v>
      </c>
      <c r="U715" s="250">
        <f>ROUND((J715+L715+N715+R715+T715),0)+1</f>
        <v>537004</v>
      </c>
      <c r="V715" s="250">
        <v>575802</v>
      </c>
      <c r="W715" s="250">
        <v>537004</v>
      </c>
      <c r="X715" s="250">
        <v>480097</v>
      </c>
      <c r="Y715" s="293">
        <v>107200</v>
      </c>
      <c r="Z715" s="294"/>
      <c r="AA715" s="251"/>
      <c r="AB715" s="251"/>
    </row>
    <row r="716" spans="1:28" s="295" customFormat="1" ht="15.75">
      <c r="A716" s="284">
        <v>579</v>
      </c>
      <c r="B716" s="284">
        <v>0</v>
      </c>
      <c r="C716" s="284" t="s">
        <v>2313</v>
      </c>
      <c r="D716" s="284" t="s">
        <v>3019</v>
      </c>
      <c r="E716" s="285" t="s">
        <v>2057</v>
      </c>
      <c r="F716" s="286" t="s">
        <v>1288</v>
      </c>
      <c r="G716" s="284">
        <v>200</v>
      </c>
      <c r="H716" s="284">
        <v>17</v>
      </c>
      <c r="I716" s="284">
        <v>0.95</v>
      </c>
      <c r="J716" s="287">
        <f>Y716*H716%*I716/G716*1000</f>
        <v>105459.49999999999</v>
      </c>
      <c r="K716" s="288">
        <v>3.81</v>
      </c>
      <c r="L716" s="289">
        <f>(Y716*K716%)/G716*1000</f>
        <v>24879.300000000003</v>
      </c>
      <c r="M716" s="288">
        <v>5</v>
      </c>
      <c r="N716" s="289">
        <f>(Y716*M716%)/G716*1000</f>
        <v>32650</v>
      </c>
      <c r="O716" s="290">
        <v>135</v>
      </c>
      <c r="P716" s="291" t="s">
        <v>433</v>
      </c>
      <c r="Q716" s="288">
        <v>1.07</v>
      </c>
      <c r="R716" s="289">
        <f>O716*dien*Q716</f>
        <v>164528.55000000002</v>
      </c>
      <c r="S716" s="292" t="s">
        <v>1183</v>
      </c>
      <c r="T716" s="296">
        <f>'Nhan cong'!M$38+'Nhan cong'!M$42</f>
        <v>271594.6153846154</v>
      </c>
      <c r="U716" s="250">
        <f>ROUND((J716+L716+N716+R716+T716),0)+1</f>
        <v>599113</v>
      </c>
      <c r="V716" s="250">
        <v>637911</v>
      </c>
      <c r="W716" s="250">
        <v>599113</v>
      </c>
      <c r="X716" s="250">
        <v>542206</v>
      </c>
      <c r="Y716" s="293">
        <v>130600</v>
      </c>
      <c r="Z716" s="294"/>
      <c r="AA716" s="251"/>
      <c r="AB716" s="251"/>
    </row>
    <row r="717" spans="1:28" s="295" customFormat="1" ht="15.75">
      <c r="A717" s="284">
        <v>580</v>
      </c>
      <c r="B717" s="284" t="s">
        <v>3786</v>
      </c>
      <c r="C717" s="284" t="s">
        <v>2314</v>
      </c>
      <c r="D717" s="284" t="s">
        <v>3011</v>
      </c>
      <c r="E717" s="285" t="s">
        <v>2058</v>
      </c>
      <c r="F717" s="286" t="s">
        <v>2315</v>
      </c>
      <c r="G717" s="284">
        <v>200</v>
      </c>
      <c r="H717" s="284">
        <v>17</v>
      </c>
      <c r="I717" s="284">
        <v>0.95</v>
      </c>
      <c r="J717" s="287">
        <f>Y717*H717%*I717/G717*1000</f>
        <v>198806.49999999997</v>
      </c>
      <c r="K717" s="288">
        <v>2.64</v>
      </c>
      <c r="L717" s="289">
        <f>(Y717*K717%)/G717*1000</f>
        <v>32498.400000000005</v>
      </c>
      <c r="M717" s="288">
        <v>5</v>
      </c>
      <c r="N717" s="289">
        <f>(Y717*M717%)/G717*1000</f>
        <v>61550</v>
      </c>
      <c r="O717" s="290">
        <v>357</v>
      </c>
      <c r="P717" s="291" t="s">
        <v>433</v>
      </c>
      <c r="Q717" s="288">
        <v>1.07</v>
      </c>
      <c r="R717" s="289">
        <f>O717*dien*Q717</f>
        <v>435086.61000000004</v>
      </c>
      <c r="S717" s="292" t="s">
        <v>1183</v>
      </c>
      <c r="T717" s="296">
        <f>'Nhan cong'!M$38+'Nhan cong'!M$42</f>
        <v>271594.6153846154</v>
      </c>
      <c r="U717" s="250">
        <f>ROUND((J717+L717+N717+R717+T717),0)+1</f>
        <v>999537</v>
      </c>
      <c r="V717" s="250">
        <v>1038336</v>
      </c>
      <c r="W717" s="250">
        <v>999537</v>
      </c>
      <c r="X717" s="250">
        <v>942631</v>
      </c>
      <c r="Y717" s="293">
        <v>246200</v>
      </c>
      <c r="Z717" s="294"/>
      <c r="AA717" s="251"/>
      <c r="AB717" s="251"/>
    </row>
    <row r="718" spans="1:28" s="295" customFormat="1" ht="15.75">
      <c r="A718" s="297"/>
      <c r="B718" s="284"/>
      <c r="C718" s="298"/>
      <c r="D718" s="284"/>
      <c r="E718" s="272"/>
      <c r="F718" s="149" t="s">
        <v>2316</v>
      </c>
      <c r="G718" s="284"/>
      <c r="H718" s="284"/>
      <c r="I718" s="284"/>
      <c r="J718" s="299"/>
      <c r="K718" s="301"/>
      <c r="L718" s="289"/>
      <c r="M718" s="301"/>
      <c r="N718" s="300"/>
      <c r="O718" s="302"/>
      <c r="P718" s="272"/>
      <c r="Q718" s="288"/>
      <c r="R718" s="300"/>
      <c r="S718" s="284"/>
      <c r="T718" s="296"/>
      <c r="U718" s="250"/>
      <c r="V718" s="250"/>
      <c r="W718" s="250"/>
      <c r="X718" s="250"/>
      <c r="Y718" s="293"/>
      <c r="Z718" s="385"/>
      <c r="AA718" s="251"/>
      <c r="AB718" s="251"/>
    </row>
    <row r="719" spans="1:28" s="295" customFormat="1" ht="63">
      <c r="A719" s="284">
        <v>581</v>
      </c>
      <c r="B719" s="284">
        <v>0</v>
      </c>
      <c r="C719" s="284" t="s">
        <v>2317</v>
      </c>
      <c r="D719" s="284" t="s">
        <v>1233</v>
      </c>
      <c r="E719" s="285" t="s">
        <v>2059</v>
      </c>
      <c r="F719" s="286" t="s">
        <v>2318</v>
      </c>
      <c r="G719" s="284">
        <v>200</v>
      </c>
      <c r="H719" s="284">
        <v>14</v>
      </c>
      <c r="I719" s="284">
        <v>0.95</v>
      </c>
      <c r="J719" s="287">
        <f>Y719*H719%*I719/G719*1000</f>
        <v>1676997</v>
      </c>
      <c r="K719" s="301">
        <v>5.9</v>
      </c>
      <c r="L719" s="289">
        <f>(Y719*K719%)/G719*1000</f>
        <v>743931</v>
      </c>
      <c r="M719" s="301">
        <v>6</v>
      </c>
      <c r="N719" s="289">
        <f>(Y719*M719%)/G719*1000</f>
        <v>756540</v>
      </c>
      <c r="O719" s="302">
        <v>41.5</v>
      </c>
      <c r="P719" s="272" t="s">
        <v>1590</v>
      </c>
      <c r="Q719" s="288">
        <v>1.05</v>
      </c>
      <c r="R719" s="289">
        <f>O719*diezel*Q719</f>
        <v>835847.8065000001</v>
      </c>
      <c r="S719" s="292" t="s">
        <v>2319</v>
      </c>
      <c r="T719" s="296">
        <f>BLthodkmay!E184</f>
        <v>992879</v>
      </c>
      <c r="U719" s="250">
        <f>ROUND((J719+L719+N719+R719+T719),0)</f>
        <v>5006195</v>
      </c>
      <c r="V719" s="250">
        <v>5037542</v>
      </c>
      <c r="W719" s="250">
        <v>4909514</v>
      </c>
      <c r="X719" s="250">
        <v>4721739</v>
      </c>
      <c r="Y719" s="293">
        <v>2521800</v>
      </c>
      <c r="Z719" s="294"/>
      <c r="AA719" s="251"/>
      <c r="AB719" s="251"/>
    </row>
    <row r="720" spans="1:28" s="295" customFormat="1" ht="63">
      <c r="A720" s="284">
        <v>582</v>
      </c>
      <c r="B720" s="284">
        <v>0</v>
      </c>
      <c r="C720" s="284" t="s">
        <v>2320</v>
      </c>
      <c r="D720" s="284" t="s">
        <v>1229</v>
      </c>
      <c r="E720" s="285" t="s">
        <v>2060</v>
      </c>
      <c r="F720" s="286" t="s">
        <v>2321</v>
      </c>
      <c r="G720" s="284">
        <v>200</v>
      </c>
      <c r="H720" s="284">
        <v>14</v>
      </c>
      <c r="I720" s="284">
        <v>0.95</v>
      </c>
      <c r="J720" s="287">
        <f>Y720*H720%*I720/G720*1000</f>
        <v>1736980.0000000002</v>
      </c>
      <c r="K720" s="301">
        <v>5.9</v>
      </c>
      <c r="L720" s="289">
        <f>(Y720*K720%)/G720*1000</f>
        <v>770540</v>
      </c>
      <c r="M720" s="301">
        <v>6</v>
      </c>
      <c r="N720" s="289">
        <f>(Y720*M720%)/G720*1000</f>
        <v>783600</v>
      </c>
      <c r="O720" s="302">
        <v>46.7</v>
      </c>
      <c r="P720" s="272" t="s">
        <v>1590</v>
      </c>
      <c r="Q720" s="288">
        <v>1.05</v>
      </c>
      <c r="R720" s="289">
        <f>O720*diezel*Q720</f>
        <v>940580.5437000002</v>
      </c>
      <c r="S720" s="292" t="s">
        <v>2319</v>
      </c>
      <c r="T720" s="296">
        <f>BLthodkmay!E190</f>
        <v>1020865</v>
      </c>
      <c r="U720" s="250">
        <f>ROUND((J720+L720+N720+R720+T720),0)</f>
        <v>5252566</v>
      </c>
      <c r="V720" s="250">
        <v>5255927</v>
      </c>
      <c r="W720" s="250">
        <v>5127899</v>
      </c>
      <c r="X720" s="250">
        <v>4940124</v>
      </c>
      <c r="Y720" s="293">
        <v>2612000</v>
      </c>
      <c r="Z720" s="294"/>
      <c r="AA720" s="251"/>
      <c r="AB720" s="251"/>
    </row>
    <row r="721" spans="1:28" s="295" customFormat="1" ht="63">
      <c r="A721" s="284">
        <v>583</v>
      </c>
      <c r="B721" s="284">
        <v>0</v>
      </c>
      <c r="C721" s="284" t="s">
        <v>2322</v>
      </c>
      <c r="D721" s="284" t="s">
        <v>1237</v>
      </c>
      <c r="E721" s="285" t="s">
        <v>2061</v>
      </c>
      <c r="F721" s="286" t="s">
        <v>2323</v>
      </c>
      <c r="G721" s="284">
        <v>200</v>
      </c>
      <c r="H721" s="284">
        <v>14</v>
      </c>
      <c r="I721" s="284">
        <v>0.95</v>
      </c>
      <c r="J721" s="287">
        <f>Y721*H721%*I721/G721*1000</f>
        <v>1768700.5000000002</v>
      </c>
      <c r="K721" s="288">
        <v>5.9</v>
      </c>
      <c r="L721" s="289">
        <f>(Y721*K721%)/G721*1000</f>
        <v>784611.5000000001</v>
      </c>
      <c r="M721" s="288">
        <v>6</v>
      </c>
      <c r="N721" s="289">
        <f>(Y721*M721%)/G721*1000</f>
        <v>797910</v>
      </c>
      <c r="O721" s="290">
        <v>51.87</v>
      </c>
      <c r="P721" s="291" t="s">
        <v>1590</v>
      </c>
      <c r="Q721" s="288">
        <v>1.05</v>
      </c>
      <c r="R721" s="289">
        <f>O721*diezel*Q721</f>
        <v>1044709.05357</v>
      </c>
      <c r="S721" s="292" t="s">
        <v>2324</v>
      </c>
      <c r="T721" s="296">
        <f>BLthodkmay!E196</f>
        <v>1020865</v>
      </c>
      <c r="U721" s="250">
        <f>ROUND((J721+L721+N721+R721+T721),0)</f>
        <v>5416796</v>
      </c>
      <c r="V721" s="250">
        <v>5420158</v>
      </c>
      <c r="W721" s="250">
        <v>5292130</v>
      </c>
      <c r="X721" s="250">
        <v>5104355</v>
      </c>
      <c r="Y721" s="293">
        <v>2659700</v>
      </c>
      <c r="Z721" s="294"/>
      <c r="AA721" s="251"/>
      <c r="AB721" s="251"/>
    </row>
    <row r="722" spans="1:28" s="295" customFormat="1" ht="15.75">
      <c r="A722" s="297"/>
      <c r="B722" s="284"/>
      <c r="C722" s="298"/>
      <c r="D722" s="284"/>
      <c r="E722" s="272"/>
      <c r="F722" s="151" t="s">
        <v>2325</v>
      </c>
      <c r="G722" s="284"/>
      <c r="H722" s="284"/>
      <c r="I722" s="284"/>
      <c r="J722" s="299"/>
      <c r="K722" s="288"/>
      <c r="L722" s="289"/>
      <c r="M722" s="288"/>
      <c r="N722" s="300"/>
      <c r="O722" s="290"/>
      <c r="P722" s="291"/>
      <c r="Q722" s="288"/>
      <c r="R722" s="300"/>
      <c r="S722" s="292"/>
      <c r="T722" s="296"/>
      <c r="U722" s="250"/>
      <c r="V722" s="250"/>
      <c r="W722" s="250"/>
      <c r="X722" s="250"/>
      <c r="Y722" s="293"/>
      <c r="Z722" s="385"/>
      <c r="AA722" s="251"/>
      <c r="AB722" s="251"/>
    </row>
    <row r="723" spans="1:28" s="295" customFormat="1" ht="63">
      <c r="A723" s="284">
        <v>584</v>
      </c>
      <c r="B723" s="284" t="s">
        <v>685</v>
      </c>
      <c r="C723" s="284" t="s">
        <v>2326</v>
      </c>
      <c r="D723" s="284" t="s">
        <v>3579</v>
      </c>
      <c r="E723" s="285" t="s">
        <v>2062</v>
      </c>
      <c r="F723" s="286" t="s">
        <v>2327</v>
      </c>
      <c r="G723" s="284">
        <v>200</v>
      </c>
      <c r="H723" s="284">
        <v>13</v>
      </c>
      <c r="I723" s="284">
        <v>0.95</v>
      </c>
      <c r="J723" s="287">
        <f>Y723*H723%*I723/G723*1000</f>
        <v>5287281.999999999</v>
      </c>
      <c r="K723" s="288">
        <v>4.6</v>
      </c>
      <c r="L723" s="289">
        <f>(Y723*K723%)/G723*1000</f>
        <v>1969351.9999999998</v>
      </c>
      <c r="M723" s="288">
        <v>6</v>
      </c>
      <c r="N723" s="289">
        <f>(Y723*M723%)/G723*1000</f>
        <v>2568720</v>
      </c>
      <c r="O723" s="290">
        <v>162</v>
      </c>
      <c r="P723" s="291" t="s">
        <v>1590</v>
      </c>
      <c r="Q723" s="288">
        <v>1.05</v>
      </c>
      <c r="R723" s="289">
        <f>O723*diezel*Q723</f>
        <v>3262827.582</v>
      </c>
      <c r="S723" s="292" t="s">
        <v>2328</v>
      </c>
      <c r="T723" s="296">
        <f>BLthodkmay!E16</f>
        <v>1291443.4615384615</v>
      </c>
      <c r="U723" s="250">
        <f>ROUND((J723+L723+N723+R723+T723),0)</f>
        <v>14379625</v>
      </c>
      <c r="V723" s="250">
        <v>14505963</v>
      </c>
      <c r="W723" s="250">
        <v>14328740</v>
      </c>
      <c r="X723" s="250">
        <v>14068812</v>
      </c>
      <c r="Y723" s="293">
        <v>8562400</v>
      </c>
      <c r="Z723" s="294"/>
      <c r="AA723" s="251"/>
      <c r="AB723" s="251"/>
    </row>
    <row r="724" spans="1:28" s="295" customFormat="1" ht="15.75">
      <c r="A724" s="297"/>
      <c r="B724" s="284"/>
      <c r="C724" s="298"/>
      <c r="D724" s="284"/>
      <c r="E724" s="272"/>
      <c r="F724" s="151" t="s">
        <v>2329</v>
      </c>
      <c r="G724" s="284"/>
      <c r="H724" s="284"/>
      <c r="I724" s="284"/>
      <c r="J724" s="299"/>
      <c r="K724" s="288"/>
      <c r="L724" s="289"/>
      <c r="M724" s="288"/>
      <c r="N724" s="300"/>
      <c r="O724" s="290"/>
      <c r="P724" s="291"/>
      <c r="Q724" s="288"/>
      <c r="R724" s="300"/>
      <c r="S724" s="292"/>
      <c r="T724" s="296"/>
      <c r="U724" s="250"/>
      <c r="V724" s="250"/>
      <c r="W724" s="250"/>
      <c r="X724" s="250"/>
      <c r="Y724" s="293"/>
      <c r="Z724" s="385"/>
      <c r="AA724" s="251"/>
      <c r="AB724" s="251"/>
    </row>
    <row r="725" spans="1:28" s="295" customFormat="1" ht="15.75">
      <c r="A725" s="284">
        <v>585</v>
      </c>
      <c r="B725" s="284">
        <v>0</v>
      </c>
      <c r="C725" s="284" t="s">
        <v>2330</v>
      </c>
      <c r="D725" s="284" t="s">
        <v>3580</v>
      </c>
      <c r="E725" s="285" t="s">
        <v>2063</v>
      </c>
      <c r="F725" s="286" t="s">
        <v>2822</v>
      </c>
      <c r="G725" s="284">
        <v>180</v>
      </c>
      <c r="H725" s="284">
        <v>22</v>
      </c>
      <c r="I725" s="284">
        <v>0.95</v>
      </c>
      <c r="J725" s="287">
        <f>Y725*H725%*I725/G725*1000</f>
        <v>140494.44444444444</v>
      </c>
      <c r="K725" s="288">
        <v>3.96</v>
      </c>
      <c r="L725" s="289">
        <f>(Y725*K725%)/G725*1000</f>
        <v>26619.999999999996</v>
      </c>
      <c r="M725" s="288">
        <v>5</v>
      </c>
      <c r="N725" s="289">
        <f>(Y725*M725%)/G725*1000</f>
        <v>33611.11111111112</v>
      </c>
      <c r="O725" s="290">
        <v>37.5</v>
      </c>
      <c r="P725" s="291" t="s">
        <v>433</v>
      </c>
      <c r="Q725" s="288">
        <v>1.07</v>
      </c>
      <c r="R725" s="289">
        <f>O725*dien*Q725</f>
        <v>45702.375</v>
      </c>
      <c r="S725" s="292" t="s">
        <v>1183</v>
      </c>
      <c r="T725" s="296">
        <f>'Nhan cong'!M$38+'Nhan cong'!M$42</f>
        <v>271594.6153846154</v>
      </c>
      <c r="U725" s="250">
        <f>ROUND((J725+L725+N725+R725+T725),0)</f>
        <v>518023</v>
      </c>
      <c r="V725" s="250">
        <v>556822</v>
      </c>
      <c r="W725" s="250">
        <v>518023</v>
      </c>
      <c r="X725" s="250">
        <v>461117</v>
      </c>
      <c r="Y725" s="293">
        <v>121000</v>
      </c>
      <c r="Z725" s="294"/>
      <c r="AA725" s="251"/>
      <c r="AB725" s="251"/>
    </row>
    <row r="726" spans="1:28" s="295" customFormat="1" ht="15.75">
      <c r="A726" s="284">
        <v>586</v>
      </c>
      <c r="B726" s="284">
        <v>0</v>
      </c>
      <c r="C726" s="284" t="s">
        <v>2331</v>
      </c>
      <c r="D726" s="284" t="s">
        <v>3581</v>
      </c>
      <c r="E726" s="285" t="s">
        <v>2064</v>
      </c>
      <c r="F726" s="286" t="s">
        <v>2332</v>
      </c>
      <c r="G726" s="284">
        <v>180</v>
      </c>
      <c r="H726" s="284">
        <v>22</v>
      </c>
      <c r="I726" s="284">
        <v>0.95</v>
      </c>
      <c r="J726" s="287">
        <f>Y726*H726%*I726/G726*1000</f>
        <v>190654.4444444444</v>
      </c>
      <c r="K726" s="288">
        <v>3.96</v>
      </c>
      <c r="L726" s="289">
        <f>(Y726*K726%)/G726*1000</f>
        <v>36123.99999999999</v>
      </c>
      <c r="M726" s="288">
        <v>5</v>
      </c>
      <c r="N726" s="289">
        <f>(Y726*M726%)/G726*1000</f>
        <v>45611.11111111112</v>
      </c>
      <c r="O726" s="290">
        <v>52.5</v>
      </c>
      <c r="P726" s="291" t="s">
        <v>433</v>
      </c>
      <c r="Q726" s="288">
        <v>1.07</v>
      </c>
      <c r="R726" s="289">
        <f>O726*dien*Q726</f>
        <v>63983.325000000004</v>
      </c>
      <c r="S726" s="292" t="s">
        <v>1183</v>
      </c>
      <c r="T726" s="296">
        <f>'Nhan cong'!M$38+'Nhan cong'!M$42</f>
        <v>271594.6153846154</v>
      </c>
      <c r="U726" s="250">
        <f>ROUND((J726+L726+N726+R726+T726),0)+1</f>
        <v>607968</v>
      </c>
      <c r="V726" s="250">
        <v>646767</v>
      </c>
      <c r="W726" s="250">
        <v>607968</v>
      </c>
      <c r="X726" s="250">
        <v>551062</v>
      </c>
      <c r="Y726" s="293">
        <v>164200</v>
      </c>
      <c r="Z726" s="294"/>
      <c r="AA726" s="251"/>
      <c r="AB726" s="251"/>
    </row>
    <row r="727" spans="1:28" s="295" customFormat="1" ht="15.75">
      <c r="A727" s="284">
        <v>587</v>
      </c>
      <c r="B727" s="284" t="s">
        <v>603</v>
      </c>
      <c r="C727" s="284" t="s">
        <v>2333</v>
      </c>
      <c r="D727" s="284" t="s">
        <v>3582</v>
      </c>
      <c r="E727" s="285" t="s">
        <v>2065</v>
      </c>
      <c r="F727" s="286" t="s">
        <v>2334</v>
      </c>
      <c r="G727" s="284">
        <v>180</v>
      </c>
      <c r="H727" s="284">
        <v>22</v>
      </c>
      <c r="I727" s="284">
        <v>0.95</v>
      </c>
      <c r="J727" s="287">
        <f>Y727*H727%*I727/G727*1000</f>
        <v>215734.4444444444</v>
      </c>
      <c r="K727" s="288">
        <v>3.96</v>
      </c>
      <c r="L727" s="289">
        <f>(Y727*K727%)/G727*1000</f>
        <v>40876</v>
      </c>
      <c r="M727" s="288">
        <v>5</v>
      </c>
      <c r="N727" s="289">
        <f>(Y727*M727%)/G727*1000</f>
        <v>51611.11111111112</v>
      </c>
      <c r="O727" s="290">
        <v>75</v>
      </c>
      <c r="P727" s="291" t="s">
        <v>433</v>
      </c>
      <c r="Q727" s="288">
        <v>1.07</v>
      </c>
      <c r="R727" s="289">
        <f>O727*dien*Q727</f>
        <v>91404.75</v>
      </c>
      <c r="S727" s="292" t="s">
        <v>1183</v>
      </c>
      <c r="T727" s="296">
        <f>'Nhan cong'!M$38+'Nhan cong'!M$42</f>
        <v>271594.6153846154</v>
      </c>
      <c r="U727" s="250">
        <f>ROUND((J727+L727+N727+R727+T727),0)</f>
        <v>671221</v>
      </c>
      <c r="V727" s="250">
        <v>710020</v>
      </c>
      <c r="W727" s="250">
        <v>671221</v>
      </c>
      <c r="X727" s="250">
        <v>614315</v>
      </c>
      <c r="Y727" s="293">
        <v>185800</v>
      </c>
      <c r="Z727" s="294"/>
      <c r="AA727" s="251"/>
      <c r="AB727" s="251"/>
    </row>
    <row r="728" spans="1:28" s="295" customFormat="1" ht="15.75">
      <c r="A728" s="284">
        <v>588</v>
      </c>
      <c r="B728" s="284" t="s">
        <v>604</v>
      </c>
      <c r="C728" s="284" t="s">
        <v>2335</v>
      </c>
      <c r="D728" s="284" t="s">
        <v>3583</v>
      </c>
      <c r="E728" s="285" t="s">
        <v>2066</v>
      </c>
      <c r="F728" s="286" t="s">
        <v>2336</v>
      </c>
      <c r="G728" s="284">
        <v>180</v>
      </c>
      <c r="H728" s="284">
        <v>22</v>
      </c>
      <c r="I728" s="284">
        <v>0.95</v>
      </c>
      <c r="J728" s="287">
        <f>Y728*H728%*I728/G728*1000</f>
        <v>240814.44444444444</v>
      </c>
      <c r="K728" s="288">
        <v>3.96</v>
      </c>
      <c r="L728" s="289">
        <f>(Y728*K728%)/G728*1000</f>
        <v>45627.99999999999</v>
      </c>
      <c r="M728" s="288">
        <v>5</v>
      </c>
      <c r="N728" s="289">
        <f>(Y728*M728%)/G728*1000</f>
        <v>57611.11111111112</v>
      </c>
      <c r="O728" s="290">
        <v>84</v>
      </c>
      <c r="P728" s="291" t="s">
        <v>433</v>
      </c>
      <c r="Q728" s="288">
        <v>1.07</v>
      </c>
      <c r="R728" s="289">
        <f>O728*dien*Q728</f>
        <v>102373.32</v>
      </c>
      <c r="S728" s="292" t="s">
        <v>1183</v>
      </c>
      <c r="T728" s="296">
        <f>'Nhan cong'!M$38+'Nhan cong'!M$42</f>
        <v>271594.6153846154</v>
      </c>
      <c r="U728" s="250">
        <f>ROUND((J728+L728+N728+R728+T728),0)+1</f>
        <v>718022</v>
      </c>
      <c r="V728" s="250">
        <v>756821</v>
      </c>
      <c r="W728" s="250">
        <v>718022</v>
      </c>
      <c r="X728" s="250">
        <v>661116</v>
      </c>
      <c r="Y728" s="293">
        <v>207400</v>
      </c>
      <c r="Z728" s="294"/>
      <c r="AA728" s="251"/>
      <c r="AB728" s="251"/>
    </row>
    <row r="729" spans="1:28" s="295" customFormat="1" ht="15.75">
      <c r="A729" s="297">
        <v>589</v>
      </c>
      <c r="B729" s="284" t="s">
        <v>602</v>
      </c>
      <c r="C729" s="298" t="s">
        <v>2337</v>
      </c>
      <c r="D729" s="284" t="s">
        <v>3584</v>
      </c>
      <c r="E729" s="285" t="s">
        <v>2338</v>
      </c>
      <c r="F729" s="320" t="s">
        <v>2338</v>
      </c>
      <c r="G729" s="284">
        <v>160</v>
      </c>
      <c r="H729" s="284">
        <v>22</v>
      </c>
      <c r="I729" s="284">
        <v>0.95</v>
      </c>
      <c r="J729" s="287">
        <f>Y729*H729%*I729/G729*1000</f>
        <v>73411.25</v>
      </c>
      <c r="K729" s="288">
        <v>3.96</v>
      </c>
      <c r="L729" s="289">
        <f>(Y729*K729%)/G729*1000</f>
        <v>13909.5</v>
      </c>
      <c r="M729" s="288">
        <v>5</v>
      </c>
      <c r="N729" s="289">
        <f>(Y729*M729%)/G729*1000</f>
        <v>17562.5</v>
      </c>
      <c r="O729" s="290">
        <v>36</v>
      </c>
      <c r="P729" s="291" t="s">
        <v>433</v>
      </c>
      <c r="Q729" s="288">
        <v>1.07</v>
      </c>
      <c r="R729" s="289">
        <f>O729*dien*Q729</f>
        <v>43874.280000000006</v>
      </c>
      <c r="S729" s="292" t="s">
        <v>1183</v>
      </c>
      <c r="T729" s="296">
        <f>'Nhan cong'!M$38+'Nhan cong'!M$42</f>
        <v>271594.6153846154</v>
      </c>
      <c r="U729" s="250">
        <f>ROUND((J729+L729+N729+R729+T729),0)+1</f>
        <v>420353</v>
      </c>
      <c r="V729" s="250">
        <v>459152</v>
      </c>
      <c r="W729" s="250">
        <v>420353</v>
      </c>
      <c r="X729" s="250">
        <v>363447</v>
      </c>
      <c r="Y729" s="293">
        <v>56200</v>
      </c>
      <c r="Z729" s="294"/>
      <c r="AA729" s="251"/>
      <c r="AB729" s="251"/>
    </row>
    <row r="730" spans="1:28" s="295" customFormat="1" ht="15.75">
      <c r="A730" s="297"/>
      <c r="B730" s="284"/>
      <c r="C730" s="298"/>
      <c r="D730" s="284"/>
      <c r="E730" s="272"/>
      <c r="F730" s="149" t="s">
        <v>2339</v>
      </c>
      <c r="G730" s="284"/>
      <c r="H730" s="284"/>
      <c r="I730" s="284"/>
      <c r="J730" s="299"/>
      <c r="K730" s="301"/>
      <c r="L730" s="289"/>
      <c r="M730" s="301"/>
      <c r="N730" s="300"/>
      <c r="O730" s="302"/>
      <c r="P730" s="272"/>
      <c r="Q730" s="288"/>
      <c r="R730" s="300"/>
      <c r="S730" s="284"/>
      <c r="T730" s="296"/>
      <c r="U730" s="250"/>
      <c r="V730" s="250"/>
      <c r="W730" s="250"/>
      <c r="X730" s="250"/>
      <c r="Y730" s="293"/>
      <c r="Z730" s="385"/>
      <c r="AA730" s="251"/>
      <c r="AB730" s="251"/>
    </row>
    <row r="731" spans="1:28" s="295" customFormat="1" ht="15.75">
      <c r="A731" s="284">
        <v>590</v>
      </c>
      <c r="B731" s="284" t="s">
        <v>605</v>
      </c>
      <c r="C731" s="284" t="s">
        <v>2340</v>
      </c>
      <c r="D731" s="284" t="s">
        <v>3585</v>
      </c>
      <c r="E731" s="285" t="s">
        <v>2067</v>
      </c>
      <c r="F731" s="286" t="s">
        <v>2341</v>
      </c>
      <c r="G731" s="284">
        <v>200</v>
      </c>
      <c r="H731" s="284">
        <v>17</v>
      </c>
      <c r="I731" s="284">
        <v>0.95</v>
      </c>
      <c r="J731" s="287">
        <f>Y731*H731%*I731/G731*1000</f>
        <v>473114.24999999994</v>
      </c>
      <c r="K731" s="301">
        <v>2.6</v>
      </c>
      <c r="L731" s="289">
        <f>(Y731*K731%)/G731*1000</f>
        <v>76167</v>
      </c>
      <c r="M731" s="301">
        <v>5</v>
      </c>
      <c r="N731" s="289">
        <f>(Y731*M731%)/G731*1000</f>
        <v>146475</v>
      </c>
      <c r="O731" s="302">
        <v>137.7</v>
      </c>
      <c r="P731" s="272" t="s">
        <v>433</v>
      </c>
      <c r="Q731" s="288">
        <v>1.07</v>
      </c>
      <c r="R731" s="289">
        <f>O731*dien*Q731</f>
        <v>167819.12099999998</v>
      </c>
      <c r="S731" s="284" t="s">
        <v>1183</v>
      </c>
      <c r="T731" s="296">
        <f>Nii3+Nii4</f>
        <v>271594.6153846154</v>
      </c>
      <c r="U731" s="250">
        <f>ROUND((J731+L731+N731+R731+T731),0)+1</f>
        <v>1135171</v>
      </c>
      <c r="V731" s="250">
        <v>1173969</v>
      </c>
      <c r="W731" s="250">
        <v>1135171</v>
      </c>
      <c r="X731" s="250">
        <v>1078264</v>
      </c>
      <c r="Y731" s="293">
        <v>585900</v>
      </c>
      <c r="Z731" s="294"/>
      <c r="AA731" s="251"/>
      <c r="AB731" s="251"/>
    </row>
    <row r="732" spans="1:28" s="295" customFormat="1" ht="15.75">
      <c r="A732" s="284">
        <v>591</v>
      </c>
      <c r="B732" s="284" t="s">
        <v>3845</v>
      </c>
      <c r="C732" s="284" t="s">
        <v>2342</v>
      </c>
      <c r="D732" s="284" t="s">
        <v>3586</v>
      </c>
      <c r="E732" s="285" t="s">
        <v>2068</v>
      </c>
      <c r="F732" s="286" t="s">
        <v>2343</v>
      </c>
      <c r="G732" s="284">
        <v>180</v>
      </c>
      <c r="H732" s="284">
        <v>14</v>
      </c>
      <c r="I732" s="284">
        <v>0.95</v>
      </c>
      <c r="J732" s="287">
        <f>Y732*H732%*I732/G732*1000</f>
        <v>708594.4444444444</v>
      </c>
      <c r="K732" s="288">
        <v>3.08</v>
      </c>
      <c r="L732" s="289">
        <f>(Y732*K732%)/G732*1000</f>
        <v>164095.55555555556</v>
      </c>
      <c r="M732" s="288">
        <v>5</v>
      </c>
      <c r="N732" s="289">
        <f>(Y732*M732%)/G732*1000</f>
        <v>266388.88888888893</v>
      </c>
      <c r="O732" s="290">
        <v>47.85</v>
      </c>
      <c r="P732" s="291" t="s">
        <v>1590</v>
      </c>
      <c r="Q732" s="288">
        <v>1.05</v>
      </c>
      <c r="R732" s="289">
        <f>O732*diezel*Q732</f>
        <v>963742.5913500001</v>
      </c>
      <c r="S732" s="292" t="s">
        <v>1600</v>
      </c>
      <c r="T732" s="296">
        <f>'Nhan cong'!M$38+'Nhan cong'!M$46</f>
        <v>296019.23076923075</v>
      </c>
      <c r="U732" s="250">
        <f>ROUND((J732+L732+N732+R732+T732),0)-1</f>
        <v>2398840</v>
      </c>
      <c r="V732" s="250">
        <v>2441129</v>
      </c>
      <c r="W732" s="250">
        <v>2398840</v>
      </c>
      <c r="X732" s="250">
        <v>2336817</v>
      </c>
      <c r="Y732" s="293">
        <v>959000</v>
      </c>
      <c r="Z732" s="294"/>
      <c r="AA732" s="251"/>
      <c r="AB732" s="251"/>
    </row>
    <row r="733" spans="1:28" s="295" customFormat="1" ht="15.75">
      <c r="A733" s="297"/>
      <c r="B733" s="284"/>
      <c r="C733" s="298"/>
      <c r="D733" s="284"/>
      <c r="E733" s="272"/>
      <c r="F733" s="151" t="s">
        <v>2344</v>
      </c>
      <c r="G733" s="284"/>
      <c r="H733" s="284"/>
      <c r="I733" s="284"/>
      <c r="J733" s="299"/>
      <c r="K733" s="288"/>
      <c r="L733" s="289"/>
      <c r="M733" s="288"/>
      <c r="N733" s="300"/>
      <c r="O733" s="290"/>
      <c r="P733" s="291"/>
      <c r="Q733" s="288"/>
      <c r="R733" s="300"/>
      <c r="S733" s="292"/>
      <c r="T733" s="296"/>
      <c r="U733" s="250"/>
      <c r="V733" s="250"/>
      <c r="W733" s="250"/>
      <c r="X733" s="250"/>
      <c r="Y733" s="293"/>
      <c r="Z733" s="385"/>
      <c r="AA733" s="251"/>
      <c r="AB733" s="251"/>
    </row>
    <row r="734" spans="1:28" s="295" customFormat="1" ht="31.5">
      <c r="A734" s="284">
        <v>592</v>
      </c>
      <c r="B734" s="284" t="s">
        <v>3784</v>
      </c>
      <c r="C734" s="284" t="s">
        <v>2345</v>
      </c>
      <c r="D734" s="284" t="s">
        <v>3003</v>
      </c>
      <c r="E734" s="285" t="s">
        <v>2346</v>
      </c>
      <c r="F734" s="286" t="s">
        <v>2346</v>
      </c>
      <c r="G734" s="284">
        <v>280</v>
      </c>
      <c r="H734" s="284">
        <v>13</v>
      </c>
      <c r="I734" s="284">
        <v>0.95</v>
      </c>
      <c r="J734" s="287">
        <f aca="true" t="shared" si="162" ref="J734:J740">Y734*H734%*I734/G734*1000</f>
        <v>4306577.321428571</v>
      </c>
      <c r="K734" s="288">
        <v>5.4</v>
      </c>
      <c r="L734" s="289">
        <f aca="true" t="shared" si="163" ref="L734:L740">(Y734*K734%)/G734*1000</f>
        <v>1883037.8571428575</v>
      </c>
      <c r="M734" s="288">
        <v>5</v>
      </c>
      <c r="N734" s="289">
        <f aca="true" t="shared" si="164" ref="N734:N740">(Y734*M734%)/G734*1000</f>
        <v>1743553.5714285714</v>
      </c>
      <c r="O734" s="290">
        <v>51.6</v>
      </c>
      <c r="P734" s="291" t="s">
        <v>1590</v>
      </c>
      <c r="Q734" s="288">
        <v>1.05</v>
      </c>
      <c r="R734" s="289">
        <f>O734*diezel*Q734</f>
        <v>1039271.0076</v>
      </c>
      <c r="S734" s="292" t="s">
        <v>1368</v>
      </c>
      <c r="T734" s="296">
        <f>'Nhan cong'!M$38*2+'Nhan cong'!M$42+'Nhan cong'!M$49</f>
        <v>595600.3846153846</v>
      </c>
      <c r="U734" s="250">
        <f>ROUND((J734+L734+N734+R734+T734),0)-1</f>
        <v>9568039</v>
      </c>
      <c r="V734" s="250">
        <v>9653126</v>
      </c>
      <c r="W734" s="250">
        <v>9568039</v>
      </c>
      <c r="X734" s="250">
        <v>9443248</v>
      </c>
      <c r="Y734" s="293">
        <v>9763900</v>
      </c>
      <c r="Z734" s="294"/>
      <c r="AA734" s="251"/>
      <c r="AB734" s="251"/>
    </row>
    <row r="735" spans="1:28" s="295" customFormat="1" ht="31.5">
      <c r="A735" s="284">
        <v>593</v>
      </c>
      <c r="B735" s="284" t="s">
        <v>615</v>
      </c>
      <c r="C735" s="284" t="s">
        <v>2347</v>
      </c>
      <c r="D735" s="284" t="s">
        <v>3587</v>
      </c>
      <c r="E735" s="285" t="s">
        <v>2069</v>
      </c>
      <c r="F735" s="286" t="s">
        <v>2348</v>
      </c>
      <c r="G735" s="284">
        <v>280</v>
      </c>
      <c r="H735" s="284">
        <v>13</v>
      </c>
      <c r="I735" s="284">
        <v>0.95</v>
      </c>
      <c r="J735" s="287">
        <f t="shared" si="162"/>
        <v>8198768.035714285</v>
      </c>
      <c r="K735" s="288">
        <v>5.4</v>
      </c>
      <c r="L735" s="289">
        <f t="shared" si="163"/>
        <v>3584886.428571429</v>
      </c>
      <c r="M735" s="288">
        <v>5</v>
      </c>
      <c r="N735" s="289">
        <f t="shared" si="164"/>
        <v>3319339.285714286</v>
      </c>
      <c r="O735" s="290">
        <v>330</v>
      </c>
      <c r="P735" s="291" t="s">
        <v>433</v>
      </c>
      <c r="Q735" s="288">
        <v>1.07</v>
      </c>
      <c r="R735" s="289">
        <f>O735*dien*Q735</f>
        <v>402180.9</v>
      </c>
      <c r="S735" s="292" t="s">
        <v>2349</v>
      </c>
      <c r="T735" s="296">
        <f>'Nhan cong'!M$38*2+'Nhan cong'!M$42+'Nhan cong'!M$46+'Nhan cong'!M$49*2</f>
        <v>964384.6153846154</v>
      </c>
      <c r="U735" s="250">
        <f>ROUND((J735+L735+N735+R735+T735),0)+1</f>
        <v>16469560</v>
      </c>
      <c r="V735" s="250">
        <v>16607329</v>
      </c>
      <c r="W735" s="250">
        <v>16469560</v>
      </c>
      <c r="X735" s="250">
        <v>16267498</v>
      </c>
      <c r="Y735" s="293">
        <v>18588300</v>
      </c>
      <c r="Z735" s="294"/>
      <c r="AA735" s="251"/>
      <c r="AB735" s="251"/>
    </row>
    <row r="736" spans="1:28" s="295" customFormat="1" ht="31.5">
      <c r="A736" s="284">
        <v>594</v>
      </c>
      <c r="B736" s="284">
        <v>0</v>
      </c>
      <c r="C736" s="284" t="s">
        <v>2350</v>
      </c>
      <c r="D736" s="284" t="s">
        <v>3588</v>
      </c>
      <c r="E736" s="285" t="s">
        <v>2351</v>
      </c>
      <c r="F736" s="286" t="s">
        <v>2351</v>
      </c>
      <c r="G736" s="284">
        <v>220</v>
      </c>
      <c r="H736" s="284">
        <v>17</v>
      </c>
      <c r="I736" s="284">
        <v>0.95</v>
      </c>
      <c r="J736" s="287">
        <f t="shared" si="162"/>
        <v>1387431.8181818184</v>
      </c>
      <c r="K736" s="288">
        <v>9.15</v>
      </c>
      <c r="L736" s="289">
        <f t="shared" si="163"/>
        <v>786068.1818181819</v>
      </c>
      <c r="M736" s="288">
        <v>5</v>
      </c>
      <c r="N736" s="289">
        <f t="shared" si="164"/>
        <v>429545.4545454546</v>
      </c>
      <c r="O736" s="290">
        <v>594</v>
      </c>
      <c r="P736" s="291" t="s">
        <v>433</v>
      </c>
      <c r="Q736" s="288">
        <v>1.07</v>
      </c>
      <c r="R736" s="289">
        <f>O736*dien*Q736</f>
        <v>723925.62</v>
      </c>
      <c r="S736" s="292" t="s">
        <v>1368</v>
      </c>
      <c r="T736" s="296">
        <f>'Nhan cong'!M$38*2+'Nhan cong'!M$42+'Nhan cong'!M$49</f>
        <v>595600.3846153846</v>
      </c>
      <c r="U736" s="250">
        <f>ROUND((J736+L736+N736+R736+T736),0)+1</f>
        <v>3922572</v>
      </c>
      <c r="V736" s="250">
        <v>4007657</v>
      </c>
      <c r="W736" s="250">
        <v>3922572</v>
      </c>
      <c r="X736" s="250">
        <v>3797779</v>
      </c>
      <c r="Y736" s="293">
        <v>1890000</v>
      </c>
      <c r="Z736" s="294"/>
      <c r="AA736" s="251"/>
      <c r="AB736" s="251"/>
    </row>
    <row r="737" spans="1:28" s="295" customFormat="1" ht="31.5">
      <c r="A737" s="284">
        <v>595</v>
      </c>
      <c r="B737" s="284" t="s">
        <v>610</v>
      </c>
      <c r="C737" s="284" t="s">
        <v>2352</v>
      </c>
      <c r="D737" s="284" t="s">
        <v>3589</v>
      </c>
      <c r="E737" s="285" t="s">
        <v>2070</v>
      </c>
      <c r="F737" s="286" t="s">
        <v>2353</v>
      </c>
      <c r="G737" s="284">
        <v>220</v>
      </c>
      <c r="H737" s="284">
        <v>17</v>
      </c>
      <c r="I737" s="284">
        <v>0.95</v>
      </c>
      <c r="J737" s="287">
        <f t="shared" si="162"/>
        <v>2519179.7727272725</v>
      </c>
      <c r="K737" s="301">
        <v>8.2</v>
      </c>
      <c r="L737" s="289">
        <f t="shared" si="163"/>
        <v>1279088.1818181816</v>
      </c>
      <c r="M737" s="301">
        <v>5</v>
      </c>
      <c r="N737" s="289">
        <f t="shared" si="164"/>
        <v>779931.8181818181</v>
      </c>
      <c r="O737" s="302">
        <v>51.6</v>
      </c>
      <c r="P737" s="272" t="s">
        <v>1590</v>
      </c>
      <c r="Q737" s="288">
        <v>1.05</v>
      </c>
      <c r="R737" s="289">
        <f>O737*diezel*Q737</f>
        <v>1039271.0076</v>
      </c>
      <c r="S737" s="284" t="s">
        <v>1170</v>
      </c>
      <c r="T737" s="296">
        <f>Nii6+Nii4+2*Nii3</f>
        <v>595600.3846153846</v>
      </c>
      <c r="U737" s="250">
        <f>ROUND((J737+L737+N737+R737+T737),0)-1</f>
        <v>6213070</v>
      </c>
      <c r="V737" s="250">
        <v>6298157</v>
      </c>
      <c r="W737" s="250">
        <v>6213070</v>
      </c>
      <c r="X737" s="250">
        <v>6088279</v>
      </c>
      <c r="Y737" s="293">
        <v>3431700</v>
      </c>
      <c r="Z737" s="294"/>
      <c r="AA737" s="251"/>
      <c r="AB737" s="251"/>
    </row>
    <row r="738" spans="1:28" s="295" customFormat="1" ht="31.5">
      <c r="A738" s="284">
        <v>596</v>
      </c>
      <c r="B738" s="284" t="s">
        <v>612</v>
      </c>
      <c r="C738" s="284" t="s">
        <v>2354</v>
      </c>
      <c r="D738" s="284" t="s">
        <v>3590</v>
      </c>
      <c r="E738" s="285" t="s">
        <v>2071</v>
      </c>
      <c r="F738" s="286" t="s">
        <v>2355</v>
      </c>
      <c r="G738" s="284">
        <v>280</v>
      </c>
      <c r="H738" s="284">
        <v>14</v>
      </c>
      <c r="I738" s="284">
        <v>0.95</v>
      </c>
      <c r="J738" s="287">
        <f t="shared" si="162"/>
        <v>1870312.5</v>
      </c>
      <c r="K738" s="288">
        <v>7.8</v>
      </c>
      <c r="L738" s="289">
        <f t="shared" si="163"/>
        <v>1096875</v>
      </c>
      <c r="M738" s="288">
        <v>5</v>
      </c>
      <c r="N738" s="289">
        <f t="shared" si="164"/>
        <v>703125</v>
      </c>
      <c r="O738" s="290">
        <v>675</v>
      </c>
      <c r="P738" s="291" t="s">
        <v>433</v>
      </c>
      <c r="Q738" s="288">
        <v>1.07</v>
      </c>
      <c r="R738" s="289">
        <f>O738*dien*Q738</f>
        <v>822642.75</v>
      </c>
      <c r="S738" s="292" t="s">
        <v>1368</v>
      </c>
      <c r="T738" s="296">
        <f>'Nhan cong'!M$38*2+'Nhan cong'!M$42+'Nhan cong'!M$49</f>
        <v>595600.3846153846</v>
      </c>
      <c r="U738" s="250">
        <f>ROUND((J738+L738+N738+R738+T738),0)</f>
        <v>5088556</v>
      </c>
      <c r="V738" s="250">
        <v>5173641</v>
      </c>
      <c r="W738" s="250">
        <v>5088556</v>
      </c>
      <c r="X738" s="250">
        <v>4963763</v>
      </c>
      <c r="Y738" s="293">
        <v>3937500</v>
      </c>
      <c r="Z738" s="294"/>
      <c r="AA738" s="251"/>
      <c r="AB738" s="251"/>
    </row>
    <row r="739" spans="1:28" s="295" customFormat="1" ht="31.5">
      <c r="A739" s="284">
        <v>597</v>
      </c>
      <c r="B739" s="284" t="s">
        <v>607</v>
      </c>
      <c r="C739" s="284" t="s">
        <v>2356</v>
      </c>
      <c r="D739" s="284" t="s">
        <v>3591</v>
      </c>
      <c r="E739" s="285" t="s">
        <v>2072</v>
      </c>
      <c r="F739" s="286" t="s">
        <v>2357</v>
      </c>
      <c r="G739" s="284">
        <v>280</v>
      </c>
      <c r="H739" s="284">
        <v>13</v>
      </c>
      <c r="I739" s="284">
        <v>0.95</v>
      </c>
      <c r="J739" s="287">
        <f t="shared" si="162"/>
        <v>5719064.464285714</v>
      </c>
      <c r="K739" s="288">
        <v>5.14</v>
      </c>
      <c r="L739" s="289">
        <f t="shared" si="163"/>
        <v>2380242.214285714</v>
      </c>
      <c r="M739" s="288">
        <v>5</v>
      </c>
      <c r="N739" s="289">
        <f t="shared" si="164"/>
        <v>2315410.714285714</v>
      </c>
      <c r="O739" s="290">
        <v>60</v>
      </c>
      <c r="P739" s="291" t="s">
        <v>1590</v>
      </c>
      <c r="Q739" s="288">
        <v>1.05</v>
      </c>
      <c r="R739" s="289">
        <f>O739*diezel*Q739</f>
        <v>1208454.66</v>
      </c>
      <c r="S739" s="292" t="s">
        <v>1368</v>
      </c>
      <c r="T739" s="296">
        <f>'Nhan cong'!M$38*2+'Nhan cong'!M$42+'Nhan cong'!M$49</f>
        <v>595600.3846153846</v>
      </c>
      <c r="U739" s="250">
        <f>ROUND((J739+L739+N739+R739+T739),0)-1</f>
        <v>12218771</v>
      </c>
      <c r="V739" s="250">
        <v>12303858</v>
      </c>
      <c r="W739" s="250">
        <v>12218771</v>
      </c>
      <c r="X739" s="250">
        <v>12093980</v>
      </c>
      <c r="Y739" s="293">
        <v>12966300</v>
      </c>
      <c r="Z739" s="294"/>
      <c r="AA739" s="251"/>
      <c r="AB739" s="251"/>
    </row>
    <row r="740" spans="1:28" s="295" customFormat="1" ht="47.25">
      <c r="A740" s="284">
        <v>598</v>
      </c>
      <c r="B740" s="284" t="s">
        <v>611</v>
      </c>
      <c r="C740" s="284" t="s">
        <v>2358</v>
      </c>
      <c r="D740" s="284" t="s">
        <v>3592</v>
      </c>
      <c r="E740" s="285" t="s">
        <v>2073</v>
      </c>
      <c r="F740" s="286" t="s">
        <v>2359</v>
      </c>
      <c r="G740" s="284">
        <v>220</v>
      </c>
      <c r="H740" s="284">
        <v>17</v>
      </c>
      <c r="I740" s="284">
        <v>0.95</v>
      </c>
      <c r="J740" s="287">
        <f t="shared" si="162"/>
        <v>7432670.454545456</v>
      </c>
      <c r="K740" s="301">
        <v>6.5</v>
      </c>
      <c r="L740" s="289">
        <f t="shared" si="163"/>
        <v>2991477.2727272725</v>
      </c>
      <c r="M740" s="301">
        <v>5</v>
      </c>
      <c r="N740" s="289">
        <f t="shared" si="164"/>
        <v>2301136.3636363633</v>
      </c>
      <c r="O740" s="302">
        <v>59.3</v>
      </c>
      <c r="P740" s="272" t="s">
        <v>1590</v>
      </c>
      <c r="Q740" s="288">
        <v>1.05</v>
      </c>
      <c r="R740" s="289">
        <f>O740*diezel*Q740</f>
        <v>1194356.0223</v>
      </c>
      <c r="S740" s="284" t="s">
        <v>1170</v>
      </c>
      <c r="T740" s="296">
        <f>Nii6+Nii4+2*Nii3</f>
        <v>595600.3846153846</v>
      </c>
      <c r="U740" s="250">
        <f>ROUND((J740+L740+N740+R740+T740),0)-1</f>
        <v>14515239</v>
      </c>
      <c r="V740" s="250">
        <v>14600326</v>
      </c>
      <c r="W740" s="250">
        <v>14515239</v>
      </c>
      <c r="X740" s="250">
        <v>14390448</v>
      </c>
      <c r="Y740" s="293">
        <v>10125000</v>
      </c>
      <c r="Z740" s="294"/>
      <c r="AA740" s="251"/>
      <c r="AB740" s="251"/>
    </row>
    <row r="741" spans="1:28" s="295" customFormat="1" ht="15.75">
      <c r="A741" s="297"/>
      <c r="B741" s="284"/>
      <c r="C741" s="298"/>
      <c r="D741" s="284"/>
      <c r="E741" s="272"/>
      <c r="F741" s="151" t="s">
        <v>2360</v>
      </c>
      <c r="G741" s="284"/>
      <c r="H741" s="284"/>
      <c r="I741" s="284"/>
      <c r="J741" s="299"/>
      <c r="K741" s="288"/>
      <c r="L741" s="289"/>
      <c r="M741" s="288"/>
      <c r="N741" s="300"/>
      <c r="O741" s="290"/>
      <c r="P741" s="291"/>
      <c r="Q741" s="288"/>
      <c r="R741" s="300"/>
      <c r="S741" s="292"/>
      <c r="T741" s="296"/>
      <c r="U741" s="250"/>
      <c r="V741" s="250"/>
      <c r="W741" s="250"/>
      <c r="X741" s="250"/>
      <c r="Y741" s="293"/>
      <c r="Z741" s="385"/>
      <c r="AA741" s="251"/>
      <c r="AB741" s="251"/>
    </row>
    <row r="742" spans="1:28" s="295" customFormat="1" ht="15.75">
      <c r="A742" s="284">
        <v>599</v>
      </c>
      <c r="B742" s="284" t="s">
        <v>734</v>
      </c>
      <c r="C742" s="284" t="s">
        <v>2361</v>
      </c>
      <c r="D742" s="284" t="s">
        <v>3593</v>
      </c>
      <c r="E742" s="285" t="s">
        <v>2074</v>
      </c>
      <c r="F742" s="286" t="s">
        <v>2362</v>
      </c>
      <c r="G742" s="284">
        <v>280</v>
      </c>
      <c r="H742" s="284">
        <v>20</v>
      </c>
      <c r="I742" s="284">
        <v>0.95</v>
      </c>
      <c r="J742" s="287">
        <f>Y742*H742%*I742/G742*1000</f>
        <v>15267.857142857143</v>
      </c>
      <c r="K742" s="288">
        <v>6.4</v>
      </c>
      <c r="L742" s="289">
        <f>(Y742*K742%)/G742*1000</f>
        <v>5142.857142857143</v>
      </c>
      <c r="M742" s="288">
        <v>5</v>
      </c>
      <c r="N742" s="289">
        <f>(Y742*M742%)/G742*1000</f>
        <v>4017.857142857143</v>
      </c>
      <c r="O742" s="290">
        <v>12.6</v>
      </c>
      <c r="P742" s="291" t="s">
        <v>433</v>
      </c>
      <c r="Q742" s="288">
        <v>1.07</v>
      </c>
      <c r="R742" s="289">
        <f>O742*dien*Q742</f>
        <v>15355.998000000001</v>
      </c>
      <c r="S742" s="292" t="s">
        <v>295</v>
      </c>
      <c r="T742" s="296">
        <f>'Nhan cong'!M$38</f>
        <v>125620.38461538461</v>
      </c>
      <c r="U742" s="250">
        <f>ROUND((J742+L742+N742+R742+T742),0)</f>
        <v>165405</v>
      </c>
      <c r="V742" s="250">
        <v>183351</v>
      </c>
      <c r="W742" s="250">
        <v>165405</v>
      </c>
      <c r="X742" s="250">
        <v>139085</v>
      </c>
      <c r="Y742" s="293">
        <v>22500</v>
      </c>
      <c r="Z742" s="294"/>
      <c r="AA742" s="251"/>
      <c r="AB742" s="251"/>
    </row>
    <row r="743" spans="1:28" s="295" customFormat="1" ht="15.75">
      <c r="A743" s="284">
        <v>600</v>
      </c>
      <c r="B743" s="284">
        <v>0</v>
      </c>
      <c r="C743" s="284" t="s">
        <v>2363</v>
      </c>
      <c r="D743" s="284" t="s">
        <v>3594</v>
      </c>
      <c r="E743" s="285" t="s">
        <v>2075</v>
      </c>
      <c r="F743" s="286" t="s">
        <v>2364</v>
      </c>
      <c r="G743" s="284">
        <v>280</v>
      </c>
      <c r="H743" s="284">
        <v>18</v>
      </c>
      <c r="I743" s="284">
        <v>0.95</v>
      </c>
      <c r="J743" s="287">
        <f>Y743*H743%*I743/G743*1000</f>
        <v>94538.57142857143</v>
      </c>
      <c r="K743" s="288">
        <v>5.76</v>
      </c>
      <c r="L743" s="289">
        <f>(Y743*K743%)/G743*1000</f>
        <v>31844.571428571428</v>
      </c>
      <c r="M743" s="288">
        <v>5</v>
      </c>
      <c r="N743" s="289">
        <f>(Y743*M743%)/G743*1000</f>
        <v>27642.85714285714</v>
      </c>
      <c r="O743" s="290">
        <v>18</v>
      </c>
      <c r="P743" s="291" t="s">
        <v>433</v>
      </c>
      <c r="Q743" s="288">
        <v>1.07</v>
      </c>
      <c r="R743" s="289">
        <f>O743*dien*Q743</f>
        <v>21937.140000000003</v>
      </c>
      <c r="S743" s="292" t="s">
        <v>1591</v>
      </c>
      <c r="T743" s="289">
        <f>'Nhan cong'!$M$42</f>
        <v>145974.23076923078</v>
      </c>
      <c r="U743" s="250">
        <f>ROUND((J743+L743+N743+R743+T743),0)</f>
        <v>321937</v>
      </c>
      <c r="V743" s="250">
        <v>342791</v>
      </c>
      <c r="W743" s="250">
        <v>321937</v>
      </c>
      <c r="X743" s="250">
        <v>291352</v>
      </c>
      <c r="Y743" s="293">
        <v>154800</v>
      </c>
      <c r="Z743" s="294"/>
      <c r="AA743" s="251"/>
      <c r="AB743" s="251"/>
    </row>
    <row r="744" spans="1:28" s="295" customFormat="1" ht="15.75">
      <c r="A744" s="297"/>
      <c r="B744" s="284"/>
      <c r="C744" s="298"/>
      <c r="D744" s="284"/>
      <c r="E744" s="272"/>
      <c r="F744" s="151" t="s">
        <v>2365</v>
      </c>
      <c r="G744" s="284"/>
      <c r="H744" s="284"/>
      <c r="I744" s="284"/>
      <c r="J744" s="299"/>
      <c r="K744" s="288"/>
      <c r="L744" s="289"/>
      <c r="M744" s="288"/>
      <c r="N744" s="300"/>
      <c r="O744" s="290"/>
      <c r="P744" s="291"/>
      <c r="Q744" s="288"/>
      <c r="R744" s="300"/>
      <c r="S744" s="292"/>
      <c r="T744" s="289"/>
      <c r="U744" s="250"/>
      <c r="V744" s="250"/>
      <c r="W744" s="250"/>
      <c r="X744" s="250"/>
      <c r="Y744" s="293"/>
      <c r="Z744" s="385"/>
      <c r="AA744" s="251"/>
      <c r="AB744" s="251"/>
    </row>
    <row r="745" spans="1:28" s="295" customFormat="1" ht="15.75">
      <c r="A745" s="284">
        <v>601</v>
      </c>
      <c r="B745" s="284">
        <v>0</v>
      </c>
      <c r="C745" s="284" t="s">
        <v>2366</v>
      </c>
      <c r="D745" s="284" t="s">
        <v>3595</v>
      </c>
      <c r="E745" s="285" t="s">
        <v>2076</v>
      </c>
      <c r="F745" s="286" t="s">
        <v>2367</v>
      </c>
      <c r="G745" s="284">
        <v>280</v>
      </c>
      <c r="H745" s="284">
        <v>18</v>
      </c>
      <c r="I745" s="284">
        <v>0.95</v>
      </c>
      <c r="J745" s="287">
        <f>Y745*H745%*I745/G745*1000</f>
        <v>188283.2142857143</v>
      </c>
      <c r="K745" s="288">
        <v>5.76</v>
      </c>
      <c r="L745" s="289">
        <f>(Y745*K745%)/G745*1000</f>
        <v>63421.71428571428</v>
      </c>
      <c r="M745" s="288">
        <v>5</v>
      </c>
      <c r="N745" s="289">
        <f>(Y745*M745%)/G745*1000</f>
        <v>55053.57142857143</v>
      </c>
      <c r="O745" s="290">
        <v>21.12</v>
      </c>
      <c r="P745" s="291" t="s">
        <v>433</v>
      </c>
      <c r="Q745" s="288">
        <v>1.07</v>
      </c>
      <c r="R745" s="289">
        <f>O745*dien*Q745</f>
        <v>25739.5776</v>
      </c>
      <c r="S745" s="292" t="s">
        <v>1591</v>
      </c>
      <c r="T745" s="289">
        <f>'Nhan cong'!$M$42</f>
        <v>145974.23076923078</v>
      </c>
      <c r="U745" s="250">
        <f>ROUND((J745+L745+N745+R745+T745),0)</f>
        <v>478472</v>
      </c>
      <c r="V745" s="250">
        <v>499326</v>
      </c>
      <c r="W745" s="250">
        <v>478472</v>
      </c>
      <c r="X745" s="250">
        <v>447887</v>
      </c>
      <c r="Y745" s="293">
        <v>308300</v>
      </c>
      <c r="Z745" s="294"/>
      <c r="AA745" s="251"/>
      <c r="AB745" s="251"/>
    </row>
    <row r="746" spans="1:28" s="295" customFormat="1" ht="15.75">
      <c r="A746" s="297"/>
      <c r="B746" s="284"/>
      <c r="C746" s="298"/>
      <c r="D746" s="284"/>
      <c r="E746" s="272"/>
      <c r="F746" s="151" t="s">
        <v>2368</v>
      </c>
      <c r="G746" s="284"/>
      <c r="H746" s="284"/>
      <c r="I746" s="284"/>
      <c r="J746" s="299"/>
      <c r="K746" s="288"/>
      <c r="L746" s="289"/>
      <c r="M746" s="288"/>
      <c r="N746" s="300"/>
      <c r="O746" s="290"/>
      <c r="P746" s="291"/>
      <c r="Q746" s="288"/>
      <c r="R746" s="300"/>
      <c r="S746" s="292"/>
      <c r="T746" s="289"/>
      <c r="U746" s="250"/>
      <c r="V746" s="250"/>
      <c r="W746" s="250"/>
      <c r="X746" s="250"/>
      <c r="Y746" s="293"/>
      <c r="Z746" s="385"/>
      <c r="AA746" s="251"/>
      <c r="AB746" s="251"/>
    </row>
    <row r="747" spans="1:28" s="295" customFormat="1" ht="15.75">
      <c r="A747" s="284">
        <v>602</v>
      </c>
      <c r="B747" s="284">
        <v>0</v>
      </c>
      <c r="C747" s="284" t="s">
        <v>2369</v>
      </c>
      <c r="D747" s="284" t="s">
        <v>3596</v>
      </c>
      <c r="E747" s="285" t="s">
        <v>2077</v>
      </c>
      <c r="F747" s="286" t="s">
        <v>1012</v>
      </c>
      <c r="G747" s="284">
        <v>260</v>
      </c>
      <c r="H747" s="284">
        <v>13</v>
      </c>
      <c r="I747" s="284">
        <v>0.95</v>
      </c>
      <c r="J747" s="287">
        <f aca="true" t="shared" si="165" ref="J747:J754">Y747*H747%*I747/G747*1000</f>
        <v>203204.99999999997</v>
      </c>
      <c r="K747" s="288">
        <v>5.85</v>
      </c>
      <c r="L747" s="289">
        <f aca="true" t="shared" si="166" ref="L747:L754">(Y747*K747%)/G747*1000</f>
        <v>96255</v>
      </c>
      <c r="M747" s="288">
        <v>6</v>
      </c>
      <c r="N747" s="289">
        <f aca="true" t="shared" si="167" ref="N747:N754">(Y747*M747%)/G747*1000</f>
        <v>98723.07692307692</v>
      </c>
      <c r="O747" s="290"/>
      <c r="P747" s="291"/>
      <c r="Q747" s="288"/>
      <c r="R747" s="300"/>
      <c r="S747" s="292" t="s">
        <v>2370</v>
      </c>
      <c r="T747" s="296">
        <f>'Nhan cong'!$M$151*2</f>
        <v>259382.3076923077</v>
      </c>
      <c r="U747" s="250">
        <f>ROUND((J747+L747+N747+R747+T747),0)</f>
        <v>657565</v>
      </c>
      <c r="V747" s="250">
        <v>694620</v>
      </c>
      <c r="W747" s="250">
        <v>657565</v>
      </c>
      <c r="X747" s="250">
        <v>603219</v>
      </c>
      <c r="Y747" s="293">
        <v>427800</v>
      </c>
      <c r="Z747" s="294"/>
      <c r="AA747" s="251"/>
      <c r="AB747" s="251"/>
    </row>
    <row r="748" spans="1:28" s="295" customFormat="1" ht="15.75">
      <c r="A748" s="284">
        <v>603</v>
      </c>
      <c r="B748" s="284" t="s">
        <v>675</v>
      </c>
      <c r="C748" s="284" t="s">
        <v>2371</v>
      </c>
      <c r="D748" s="284" t="s">
        <v>3597</v>
      </c>
      <c r="E748" s="285" t="s">
        <v>31</v>
      </c>
      <c r="F748" s="286" t="s">
        <v>2372</v>
      </c>
      <c r="G748" s="284">
        <v>260</v>
      </c>
      <c r="H748" s="284">
        <v>13</v>
      </c>
      <c r="I748" s="284">
        <v>0.95</v>
      </c>
      <c r="J748" s="287">
        <f t="shared" si="165"/>
        <v>298775</v>
      </c>
      <c r="K748" s="288">
        <v>5.85</v>
      </c>
      <c r="L748" s="289">
        <f t="shared" si="166"/>
        <v>141525</v>
      </c>
      <c r="M748" s="288">
        <v>6</v>
      </c>
      <c r="N748" s="289">
        <f t="shared" si="167"/>
        <v>145153.84615384616</v>
      </c>
      <c r="O748" s="290"/>
      <c r="P748" s="291"/>
      <c r="Q748" s="288"/>
      <c r="R748" s="300"/>
      <c r="S748" s="292" t="s">
        <v>2370</v>
      </c>
      <c r="T748" s="296">
        <f>'Nhan cong'!$M$151*2</f>
        <v>259382.3076923077</v>
      </c>
      <c r="U748" s="250">
        <f>ROUND((J748+L748+N748+R748+T748),0)</f>
        <v>844836</v>
      </c>
      <c r="V748" s="250">
        <v>881891</v>
      </c>
      <c r="W748" s="250">
        <v>844836</v>
      </c>
      <c r="X748" s="250">
        <v>790490</v>
      </c>
      <c r="Y748" s="293">
        <v>629000</v>
      </c>
      <c r="Z748" s="294"/>
      <c r="AA748" s="251"/>
      <c r="AB748" s="251"/>
    </row>
    <row r="749" spans="1:28" s="295" customFormat="1" ht="15.75">
      <c r="A749" s="284">
        <v>604</v>
      </c>
      <c r="B749" s="284" t="s">
        <v>676</v>
      </c>
      <c r="C749" s="284" t="s">
        <v>2373</v>
      </c>
      <c r="D749" s="284" t="s">
        <v>3598</v>
      </c>
      <c r="E749" s="285" t="s">
        <v>32</v>
      </c>
      <c r="F749" s="286" t="s">
        <v>2374</v>
      </c>
      <c r="G749" s="284">
        <v>260</v>
      </c>
      <c r="H749" s="284">
        <v>13</v>
      </c>
      <c r="I749" s="284">
        <v>0.95</v>
      </c>
      <c r="J749" s="287">
        <f t="shared" si="165"/>
        <v>373445</v>
      </c>
      <c r="K749" s="288">
        <v>5.85</v>
      </c>
      <c r="L749" s="289">
        <f t="shared" si="166"/>
        <v>176894.99999999997</v>
      </c>
      <c r="M749" s="288">
        <v>6</v>
      </c>
      <c r="N749" s="289">
        <f t="shared" si="167"/>
        <v>181430.76923076925</v>
      </c>
      <c r="O749" s="290"/>
      <c r="P749" s="291"/>
      <c r="Q749" s="288"/>
      <c r="R749" s="300"/>
      <c r="S749" s="292" t="s">
        <v>2370</v>
      </c>
      <c r="T749" s="296">
        <f>'Nhan cong'!$M$151*2</f>
        <v>259382.3076923077</v>
      </c>
      <c r="U749" s="250">
        <f>ROUND((J749+L749+N749+R749+T749),0)</f>
        <v>991153</v>
      </c>
      <c r="V749" s="250">
        <v>1028208</v>
      </c>
      <c r="W749" s="250">
        <v>991153</v>
      </c>
      <c r="X749" s="250">
        <v>936807</v>
      </c>
      <c r="Y749" s="293">
        <v>786200</v>
      </c>
      <c r="Z749" s="294"/>
      <c r="AA749" s="251"/>
      <c r="AB749" s="251"/>
    </row>
    <row r="750" spans="1:28" s="295" customFormat="1" ht="15.75">
      <c r="A750" s="284">
        <v>605</v>
      </c>
      <c r="B750" s="284" t="s">
        <v>677</v>
      </c>
      <c r="C750" s="284" t="s">
        <v>2375</v>
      </c>
      <c r="D750" s="284" t="s">
        <v>3599</v>
      </c>
      <c r="E750" s="285" t="s">
        <v>33</v>
      </c>
      <c r="F750" s="286" t="s">
        <v>2376</v>
      </c>
      <c r="G750" s="284">
        <v>260</v>
      </c>
      <c r="H750" s="284">
        <v>13</v>
      </c>
      <c r="I750" s="284">
        <v>0.95</v>
      </c>
      <c r="J750" s="287">
        <f t="shared" si="165"/>
        <v>448827.5</v>
      </c>
      <c r="K750" s="288">
        <v>5.85</v>
      </c>
      <c r="L750" s="289">
        <f t="shared" si="166"/>
        <v>212602.49999999997</v>
      </c>
      <c r="M750" s="288">
        <v>6</v>
      </c>
      <c r="N750" s="289">
        <f t="shared" si="167"/>
        <v>218053.84615384616</v>
      </c>
      <c r="O750" s="290"/>
      <c r="P750" s="291"/>
      <c r="Q750" s="288"/>
      <c r="R750" s="300"/>
      <c r="S750" s="292" t="s">
        <v>2370</v>
      </c>
      <c r="T750" s="296">
        <f>'Nhan cong'!$M$151*2</f>
        <v>259382.3076923077</v>
      </c>
      <c r="U750" s="250">
        <f>ROUND((J750+L750+N750+R750+T750),0)</f>
        <v>1138866</v>
      </c>
      <c r="V750" s="250">
        <v>1175921</v>
      </c>
      <c r="W750" s="250">
        <v>1138866</v>
      </c>
      <c r="X750" s="250">
        <v>1084520</v>
      </c>
      <c r="Y750" s="293">
        <v>944900</v>
      </c>
      <c r="Z750" s="294"/>
      <c r="AA750" s="251"/>
      <c r="AB750" s="251"/>
    </row>
    <row r="751" spans="1:28" s="295" customFormat="1" ht="15.75">
      <c r="A751" s="284">
        <v>606</v>
      </c>
      <c r="B751" s="284" t="s">
        <v>678</v>
      </c>
      <c r="C751" s="284" t="s">
        <v>2377</v>
      </c>
      <c r="D751" s="284" t="s">
        <v>3600</v>
      </c>
      <c r="E751" s="285" t="s">
        <v>2078</v>
      </c>
      <c r="F751" s="286" t="s">
        <v>2378</v>
      </c>
      <c r="G751" s="284">
        <v>260</v>
      </c>
      <c r="H751" s="284">
        <v>13</v>
      </c>
      <c r="I751" s="284">
        <v>0.95</v>
      </c>
      <c r="J751" s="287">
        <f t="shared" si="165"/>
        <v>500364.99999999994</v>
      </c>
      <c r="K751" s="288">
        <v>5.46</v>
      </c>
      <c r="L751" s="289">
        <f t="shared" si="166"/>
        <v>221214</v>
      </c>
      <c r="M751" s="288">
        <v>6</v>
      </c>
      <c r="N751" s="289">
        <f t="shared" si="167"/>
        <v>243092.3076923077</v>
      </c>
      <c r="O751" s="290"/>
      <c r="P751" s="291"/>
      <c r="Q751" s="288"/>
      <c r="R751" s="300"/>
      <c r="S751" s="292" t="s">
        <v>2370</v>
      </c>
      <c r="T751" s="296">
        <f>'Nhan cong'!$M$151*2</f>
        <v>259382.3076923077</v>
      </c>
      <c r="U751" s="250">
        <f>ROUND((J751+L751+N751+R751+T751),0)-1</f>
        <v>1224053</v>
      </c>
      <c r="V751" s="250">
        <v>1261108</v>
      </c>
      <c r="W751" s="250">
        <v>1224053</v>
      </c>
      <c r="X751" s="250">
        <v>1169707</v>
      </c>
      <c r="Y751" s="293">
        <v>1053400</v>
      </c>
      <c r="Z751" s="294"/>
      <c r="AA751" s="251"/>
      <c r="AB751" s="251"/>
    </row>
    <row r="752" spans="1:28" s="295" customFormat="1" ht="15.75">
      <c r="A752" s="284">
        <v>607</v>
      </c>
      <c r="B752" s="284" t="s">
        <v>679</v>
      </c>
      <c r="C752" s="284" t="s">
        <v>2379</v>
      </c>
      <c r="D752" s="284" t="s">
        <v>3601</v>
      </c>
      <c r="E752" s="285" t="s">
        <v>34</v>
      </c>
      <c r="F752" s="286" t="s">
        <v>2380</v>
      </c>
      <c r="G752" s="284">
        <v>260</v>
      </c>
      <c r="H752" s="284">
        <v>13</v>
      </c>
      <c r="I752" s="284">
        <v>0.95</v>
      </c>
      <c r="J752" s="287">
        <f t="shared" si="165"/>
        <v>588667.4999999999</v>
      </c>
      <c r="K752" s="288">
        <v>5.46</v>
      </c>
      <c r="L752" s="289">
        <f t="shared" si="166"/>
        <v>260253</v>
      </c>
      <c r="M752" s="288">
        <v>6</v>
      </c>
      <c r="N752" s="289">
        <f t="shared" si="167"/>
        <v>285992.3076923077</v>
      </c>
      <c r="O752" s="290"/>
      <c r="P752" s="291"/>
      <c r="Q752" s="288"/>
      <c r="R752" s="300"/>
      <c r="S752" s="292" t="s">
        <v>2370</v>
      </c>
      <c r="T752" s="296">
        <f>'Nhan cong'!$M$151*2</f>
        <v>259382.3076923077</v>
      </c>
      <c r="U752" s="250">
        <f>ROUND((J752+L752+N752+R752+T752),0)</f>
        <v>1394295</v>
      </c>
      <c r="V752" s="250">
        <v>1431350</v>
      </c>
      <c r="W752" s="250">
        <v>1394295</v>
      </c>
      <c r="X752" s="250">
        <v>1339949</v>
      </c>
      <c r="Y752" s="293">
        <v>1239300</v>
      </c>
      <c r="Z752" s="294"/>
      <c r="AA752" s="251"/>
      <c r="AB752" s="251"/>
    </row>
    <row r="753" spans="1:28" s="295" customFormat="1" ht="15.75">
      <c r="A753" s="284">
        <v>608</v>
      </c>
      <c r="B753" s="284" t="s">
        <v>680</v>
      </c>
      <c r="C753" s="284" t="s">
        <v>2381</v>
      </c>
      <c r="D753" s="284" t="s">
        <v>3602</v>
      </c>
      <c r="E753" s="285" t="s">
        <v>2079</v>
      </c>
      <c r="F753" s="286" t="s">
        <v>2382</v>
      </c>
      <c r="G753" s="284">
        <v>260</v>
      </c>
      <c r="H753" s="284">
        <v>13</v>
      </c>
      <c r="I753" s="284">
        <v>0.95</v>
      </c>
      <c r="J753" s="287">
        <f t="shared" si="165"/>
        <v>833957.5</v>
      </c>
      <c r="K753" s="288">
        <v>5.2</v>
      </c>
      <c r="L753" s="289">
        <f t="shared" si="166"/>
        <v>351140.00000000006</v>
      </c>
      <c r="M753" s="288">
        <v>6</v>
      </c>
      <c r="N753" s="289">
        <f t="shared" si="167"/>
        <v>405161.53846153844</v>
      </c>
      <c r="O753" s="290"/>
      <c r="P753" s="291"/>
      <c r="Q753" s="288"/>
      <c r="R753" s="300"/>
      <c r="S753" s="292" t="s">
        <v>2370</v>
      </c>
      <c r="T753" s="296">
        <f>'Nhan cong'!$M$151*2</f>
        <v>259382.3076923077</v>
      </c>
      <c r="U753" s="250">
        <f>ROUND((J753+L753+N753+R753+T753),0)</f>
        <v>1849641</v>
      </c>
      <c r="V753" s="250">
        <v>1886696</v>
      </c>
      <c r="W753" s="250">
        <v>1849641</v>
      </c>
      <c r="X753" s="250">
        <v>1795295</v>
      </c>
      <c r="Y753" s="293">
        <v>1755700</v>
      </c>
      <c r="Z753" s="294"/>
      <c r="AA753" s="251"/>
      <c r="AB753" s="251"/>
    </row>
    <row r="754" spans="1:28" s="295" customFormat="1" ht="15.75">
      <c r="A754" s="284">
        <v>609</v>
      </c>
      <c r="B754" s="284" t="s">
        <v>674</v>
      </c>
      <c r="C754" s="284" t="s">
        <v>2383</v>
      </c>
      <c r="D754" s="284" t="s">
        <v>3603</v>
      </c>
      <c r="E754" s="285" t="s">
        <v>35</v>
      </c>
      <c r="F754" s="286" t="s">
        <v>2384</v>
      </c>
      <c r="G754" s="284">
        <v>260</v>
      </c>
      <c r="H754" s="284">
        <v>13</v>
      </c>
      <c r="I754" s="284">
        <v>0.95</v>
      </c>
      <c r="J754" s="287">
        <f t="shared" si="165"/>
        <v>981112.5</v>
      </c>
      <c r="K754" s="288">
        <v>5.2</v>
      </c>
      <c r="L754" s="289">
        <f t="shared" si="166"/>
        <v>413100.00000000006</v>
      </c>
      <c r="M754" s="288">
        <v>6</v>
      </c>
      <c r="N754" s="289">
        <f t="shared" si="167"/>
        <v>476653.8461538461</v>
      </c>
      <c r="O754" s="290"/>
      <c r="P754" s="291"/>
      <c r="Q754" s="288"/>
      <c r="R754" s="300"/>
      <c r="S754" s="292" t="s">
        <v>2370</v>
      </c>
      <c r="T754" s="296">
        <f>'Nhan cong'!$M$151*2</f>
        <v>259382.3076923077</v>
      </c>
      <c r="U754" s="250">
        <f>ROUND((J754+L754+N754+R754+T754),0)-1</f>
        <v>2130248</v>
      </c>
      <c r="V754" s="250">
        <v>2167303</v>
      </c>
      <c r="W754" s="250">
        <v>2130248</v>
      </c>
      <c r="X754" s="250">
        <v>2075902</v>
      </c>
      <c r="Y754" s="293">
        <v>2065500</v>
      </c>
      <c r="Z754" s="294"/>
      <c r="AA754" s="251"/>
      <c r="AB754" s="251"/>
    </row>
    <row r="755" spans="1:28" s="295" customFormat="1" ht="15.75">
      <c r="A755" s="297"/>
      <c r="B755" s="284"/>
      <c r="C755" s="298"/>
      <c r="D755" s="284"/>
      <c r="E755" s="272"/>
      <c r="F755" s="151" t="s">
        <v>2385</v>
      </c>
      <c r="G755" s="284"/>
      <c r="H755" s="284"/>
      <c r="I755" s="284"/>
      <c r="J755" s="299"/>
      <c r="K755" s="288"/>
      <c r="L755" s="289"/>
      <c r="M755" s="288"/>
      <c r="N755" s="300"/>
      <c r="O755" s="290"/>
      <c r="P755" s="291"/>
      <c r="Q755" s="288"/>
      <c r="R755" s="300"/>
      <c r="S755" s="292"/>
      <c r="T755" s="296"/>
      <c r="U755" s="250"/>
      <c r="V755" s="250"/>
      <c r="W755" s="250"/>
      <c r="X755" s="250"/>
      <c r="Y755" s="293"/>
      <c r="Z755" s="385"/>
      <c r="AA755" s="251"/>
      <c r="AB755" s="251"/>
    </row>
    <row r="756" spans="1:28" s="295" customFormat="1" ht="31.5">
      <c r="A756" s="284">
        <v>610</v>
      </c>
      <c r="B756" s="284">
        <v>0</v>
      </c>
      <c r="C756" s="284" t="s">
        <v>2386</v>
      </c>
      <c r="D756" s="284" t="s">
        <v>3604</v>
      </c>
      <c r="E756" s="285" t="s">
        <v>2080</v>
      </c>
      <c r="F756" s="286" t="s">
        <v>2832</v>
      </c>
      <c r="G756" s="284">
        <v>210</v>
      </c>
      <c r="H756" s="284">
        <v>13</v>
      </c>
      <c r="I756" s="284">
        <v>0.95</v>
      </c>
      <c r="J756" s="287">
        <f>Y756*H756%*I756/G756*1000</f>
        <v>601092.1428571428</v>
      </c>
      <c r="K756" s="288">
        <v>5.85</v>
      </c>
      <c r="L756" s="289">
        <f>(Y756*K756%)/G756*1000</f>
        <v>284727.85714285716</v>
      </c>
      <c r="M756" s="288">
        <v>6</v>
      </c>
      <c r="N756" s="289">
        <f>(Y756*M756%)/G756*1000</f>
        <v>292028.5714285714</v>
      </c>
      <c r="O756" s="290"/>
      <c r="P756" s="291"/>
      <c r="Q756" s="288"/>
      <c r="R756" s="300"/>
      <c r="S756" s="321" t="s">
        <v>2387</v>
      </c>
      <c r="T756" s="296">
        <f>'Nhan cong'!M182+'Nhan cong'!M151*3+'Nhan cong'!M163*2</f>
        <v>900270</v>
      </c>
      <c r="U756" s="250">
        <f>ROUND((J756+L756+N756+R756+T756),0)</f>
        <v>2078119</v>
      </c>
      <c r="V756" s="250">
        <v>2176489</v>
      </c>
      <c r="W756" s="250">
        <v>2051659</v>
      </c>
      <c r="X756" s="250">
        <v>1868575</v>
      </c>
      <c r="Y756" s="293">
        <v>1022100</v>
      </c>
      <c r="Z756" s="294"/>
      <c r="AA756" s="251"/>
      <c r="AB756" s="251"/>
    </row>
    <row r="757" spans="1:28" s="295" customFormat="1" ht="15.75">
      <c r="A757" s="297"/>
      <c r="B757" s="284"/>
      <c r="C757" s="298"/>
      <c r="D757" s="284"/>
      <c r="E757" s="272"/>
      <c r="F757" s="151" t="s">
        <v>2388</v>
      </c>
      <c r="G757" s="284"/>
      <c r="H757" s="284"/>
      <c r="I757" s="284"/>
      <c r="J757" s="299"/>
      <c r="K757" s="288"/>
      <c r="L757" s="289"/>
      <c r="M757" s="288"/>
      <c r="N757" s="300"/>
      <c r="O757" s="290"/>
      <c r="P757" s="291"/>
      <c r="Q757" s="288"/>
      <c r="R757" s="300"/>
      <c r="S757" s="292"/>
      <c r="T757" s="296"/>
      <c r="U757" s="250"/>
      <c r="V757" s="250"/>
      <c r="W757" s="250"/>
      <c r="X757" s="250"/>
      <c r="Y757" s="293"/>
      <c r="Z757" s="385"/>
      <c r="AA757" s="251"/>
      <c r="AB757" s="251"/>
    </row>
    <row r="758" spans="1:28" s="295" customFormat="1" ht="15.75">
      <c r="A758" s="284">
        <v>611</v>
      </c>
      <c r="B758" s="284">
        <v>0</v>
      </c>
      <c r="C758" s="284" t="s">
        <v>2389</v>
      </c>
      <c r="D758" s="284" t="s">
        <v>3605</v>
      </c>
      <c r="E758" s="285" t="s">
        <v>2081</v>
      </c>
      <c r="F758" s="286" t="s">
        <v>350</v>
      </c>
      <c r="G758" s="284">
        <v>210</v>
      </c>
      <c r="H758" s="284">
        <v>14</v>
      </c>
      <c r="I758" s="284">
        <v>0.95</v>
      </c>
      <c r="J758" s="287">
        <f>Y758*H758%*I758/G758*1000</f>
        <v>30780</v>
      </c>
      <c r="K758" s="288">
        <v>6.3</v>
      </c>
      <c r="L758" s="289">
        <f>(Y758*K758%)/G758*1000</f>
        <v>14580</v>
      </c>
      <c r="M758" s="288">
        <v>6</v>
      </c>
      <c r="N758" s="289">
        <f>(Y758*M758%)/G758*1000</f>
        <v>13885.714285714286</v>
      </c>
      <c r="O758" s="290"/>
      <c r="P758" s="291"/>
      <c r="Q758" s="288"/>
      <c r="R758" s="300"/>
      <c r="S758" s="292"/>
      <c r="T758" s="296"/>
      <c r="U758" s="250">
        <f>ROUND((J758+L758+N758+R758+T758),0)</f>
        <v>59246</v>
      </c>
      <c r="V758" s="250">
        <v>59246</v>
      </c>
      <c r="W758" s="250">
        <v>59246</v>
      </c>
      <c r="X758" s="250">
        <v>59246</v>
      </c>
      <c r="Y758" s="293">
        <v>48600</v>
      </c>
      <c r="Z758" s="294"/>
      <c r="AA758" s="251"/>
      <c r="AB758" s="251"/>
    </row>
    <row r="759" spans="1:28" s="295" customFormat="1" ht="15.75">
      <c r="A759" s="284">
        <v>612</v>
      </c>
      <c r="B759" s="284">
        <v>0</v>
      </c>
      <c r="C759" s="284" t="s">
        <v>2390</v>
      </c>
      <c r="D759" s="284" t="s">
        <v>3606</v>
      </c>
      <c r="E759" s="285" t="s">
        <v>36</v>
      </c>
      <c r="F759" s="286" t="s">
        <v>2391</v>
      </c>
      <c r="G759" s="284">
        <v>210</v>
      </c>
      <c r="H759" s="284">
        <v>14</v>
      </c>
      <c r="I759" s="284">
        <v>0.95</v>
      </c>
      <c r="J759" s="287">
        <f>Y759*H759%*I759/G759*1000</f>
        <v>40660.00000000001</v>
      </c>
      <c r="K759" s="288">
        <v>6.3</v>
      </c>
      <c r="L759" s="289">
        <f>(Y759*K759%)/G759*1000</f>
        <v>19259.999999999996</v>
      </c>
      <c r="M759" s="288">
        <v>6</v>
      </c>
      <c r="N759" s="289">
        <f>(Y759*M759%)/G759*1000</f>
        <v>18342.85714285714</v>
      </c>
      <c r="O759" s="290"/>
      <c r="P759" s="291"/>
      <c r="Q759" s="288"/>
      <c r="R759" s="300"/>
      <c r="S759" s="292"/>
      <c r="T759" s="296"/>
      <c r="U759" s="250">
        <f>ROUND((J759+L759+N759+R759+T759),0)</f>
        <v>78263</v>
      </c>
      <c r="V759" s="250">
        <v>78263</v>
      </c>
      <c r="W759" s="250">
        <v>78263</v>
      </c>
      <c r="X759" s="250">
        <v>78263</v>
      </c>
      <c r="Y759" s="293">
        <v>64200</v>
      </c>
      <c r="Z759" s="294"/>
      <c r="AA759" s="251"/>
      <c r="AB759" s="251"/>
    </row>
    <row r="760" spans="1:28" s="295" customFormat="1" ht="15.75">
      <c r="A760" s="284">
        <v>613</v>
      </c>
      <c r="B760" s="284">
        <v>0</v>
      </c>
      <c r="C760" s="284" t="s">
        <v>2392</v>
      </c>
      <c r="D760" s="284" t="s">
        <v>3607</v>
      </c>
      <c r="E760" s="285" t="s">
        <v>37</v>
      </c>
      <c r="F760" s="286" t="s">
        <v>2822</v>
      </c>
      <c r="G760" s="284">
        <v>210</v>
      </c>
      <c r="H760" s="284">
        <v>13</v>
      </c>
      <c r="I760" s="284">
        <v>0.95</v>
      </c>
      <c r="J760" s="287">
        <f>Y760*H760%*I760/G760*1000</f>
        <v>62338.09523809524</v>
      </c>
      <c r="K760" s="288">
        <v>5.85</v>
      </c>
      <c r="L760" s="289">
        <f>(Y760*K760%)/G760*1000</f>
        <v>29528.571428571428</v>
      </c>
      <c r="M760" s="288">
        <v>6</v>
      </c>
      <c r="N760" s="289">
        <f>(Y760*M760%)/G760*1000</f>
        <v>30285.714285714286</v>
      </c>
      <c r="O760" s="290"/>
      <c r="P760" s="291"/>
      <c r="Q760" s="288"/>
      <c r="R760" s="300"/>
      <c r="S760" s="292"/>
      <c r="T760" s="296"/>
      <c r="U760" s="250">
        <f>ROUND((J760+L760+N760+R760+T760),0)</f>
        <v>122152</v>
      </c>
      <c r="V760" s="250">
        <v>122152</v>
      </c>
      <c r="W760" s="250">
        <v>122152</v>
      </c>
      <c r="X760" s="250">
        <v>122152</v>
      </c>
      <c r="Y760" s="293">
        <v>106000</v>
      </c>
      <c r="Z760" s="294"/>
      <c r="AA760" s="251"/>
      <c r="AB760" s="251"/>
    </row>
    <row r="761" spans="1:28" s="295" customFormat="1" ht="15.75">
      <c r="A761" s="284">
        <v>614</v>
      </c>
      <c r="B761" s="284">
        <v>0</v>
      </c>
      <c r="C761" s="284" t="s">
        <v>2393</v>
      </c>
      <c r="D761" s="284" t="s">
        <v>3608</v>
      </c>
      <c r="E761" s="285" t="s">
        <v>38</v>
      </c>
      <c r="F761" s="286" t="s">
        <v>2336</v>
      </c>
      <c r="G761" s="284">
        <v>210</v>
      </c>
      <c r="H761" s="284">
        <v>13</v>
      </c>
      <c r="I761" s="284">
        <v>0.95</v>
      </c>
      <c r="J761" s="287">
        <f>Y761*H761%*I761/G761*1000</f>
        <v>108562.38095238095</v>
      </c>
      <c r="K761" s="288">
        <v>5.85</v>
      </c>
      <c r="L761" s="289">
        <f>(Y761*K761%)/G761*1000</f>
        <v>51424.28571428571</v>
      </c>
      <c r="M761" s="288">
        <v>6</v>
      </c>
      <c r="N761" s="289">
        <f>(Y761*M761%)/G761*1000</f>
        <v>52742.85714285714</v>
      </c>
      <c r="O761" s="290"/>
      <c r="P761" s="291"/>
      <c r="Q761" s="288"/>
      <c r="R761" s="300"/>
      <c r="S761" s="292"/>
      <c r="T761" s="296"/>
      <c r="U761" s="250">
        <f>ROUND((J761+L761+N761+R761+T761),0)</f>
        <v>212730</v>
      </c>
      <c r="V761" s="250">
        <v>212730</v>
      </c>
      <c r="W761" s="250">
        <v>212730</v>
      </c>
      <c r="X761" s="250">
        <v>212730</v>
      </c>
      <c r="Y761" s="293">
        <v>184600</v>
      </c>
      <c r="Z761" s="294"/>
      <c r="AA761" s="251"/>
      <c r="AB761" s="251"/>
    </row>
    <row r="762" spans="1:28" s="295" customFormat="1" ht="15.75">
      <c r="A762" s="284">
        <v>615</v>
      </c>
      <c r="B762" s="284">
        <v>0</v>
      </c>
      <c r="C762" s="284" t="s">
        <v>2394</v>
      </c>
      <c r="D762" s="284" t="s">
        <v>3609</v>
      </c>
      <c r="E762" s="285" t="s">
        <v>39</v>
      </c>
      <c r="F762" s="286" t="s">
        <v>2832</v>
      </c>
      <c r="G762" s="284">
        <v>210</v>
      </c>
      <c r="H762" s="284">
        <v>13</v>
      </c>
      <c r="I762" s="284">
        <v>0.95</v>
      </c>
      <c r="J762" s="287">
        <f>Y762*H762%*I762/G762*1000</f>
        <v>113972.85714285713</v>
      </c>
      <c r="K762" s="301">
        <v>5.85</v>
      </c>
      <c r="L762" s="289">
        <f>(Y762*K762%)/G762*1000</f>
        <v>53987.142857142855</v>
      </c>
      <c r="M762" s="301">
        <v>6</v>
      </c>
      <c r="N762" s="289">
        <f>(Y762*M762%)/G762*1000</f>
        <v>55371.42857142857</v>
      </c>
      <c r="O762" s="302"/>
      <c r="P762" s="272"/>
      <c r="Q762" s="288"/>
      <c r="R762" s="300"/>
      <c r="S762" s="284"/>
      <c r="T762" s="296"/>
      <c r="U762" s="250">
        <f>ROUND((J762+L762+N762+R762+T762),0)</f>
        <v>223331</v>
      </c>
      <c r="V762" s="250">
        <v>223331</v>
      </c>
      <c r="W762" s="250">
        <v>223331</v>
      </c>
      <c r="X762" s="250">
        <v>223331</v>
      </c>
      <c r="Y762" s="293">
        <v>193800</v>
      </c>
      <c r="Z762" s="294"/>
      <c r="AA762" s="251"/>
      <c r="AB762" s="251"/>
    </row>
    <row r="763" spans="1:28" s="295" customFormat="1" ht="15.75">
      <c r="A763" s="297"/>
      <c r="B763" s="284"/>
      <c r="C763" s="298"/>
      <c r="D763" s="284"/>
      <c r="E763" s="272"/>
      <c r="F763" s="151" t="s">
        <v>2395</v>
      </c>
      <c r="G763" s="284"/>
      <c r="H763" s="284"/>
      <c r="I763" s="284"/>
      <c r="J763" s="299"/>
      <c r="K763" s="288"/>
      <c r="L763" s="289"/>
      <c r="M763" s="288"/>
      <c r="N763" s="300"/>
      <c r="O763" s="290"/>
      <c r="P763" s="291"/>
      <c r="Q763" s="288"/>
      <c r="R763" s="300"/>
      <c r="S763" s="292"/>
      <c r="T763" s="296"/>
      <c r="U763" s="250"/>
      <c r="V763" s="250"/>
      <c r="W763" s="250"/>
      <c r="X763" s="250"/>
      <c r="Y763" s="293"/>
      <c r="Z763" s="385"/>
      <c r="AA763" s="251"/>
      <c r="AB763" s="251"/>
    </row>
    <row r="764" spans="1:28" s="295" customFormat="1" ht="15.75">
      <c r="A764" s="284">
        <v>616</v>
      </c>
      <c r="B764" s="284">
        <v>0</v>
      </c>
      <c r="C764" s="284" t="s">
        <v>2396</v>
      </c>
      <c r="D764" s="284" t="s">
        <v>2168</v>
      </c>
      <c r="E764" s="285" t="s">
        <v>2082</v>
      </c>
      <c r="F764" s="286" t="s">
        <v>2397</v>
      </c>
      <c r="G764" s="284">
        <v>200</v>
      </c>
      <c r="H764" s="284">
        <v>12</v>
      </c>
      <c r="I764" s="284">
        <v>0.95</v>
      </c>
      <c r="J764" s="287">
        <f aca="true" t="shared" si="168" ref="J764:J771">Y764*H764%*I764/G764*1000</f>
        <v>47082</v>
      </c>
      <c r="K764" s="288">
        <v>6</v>
      </c>
      <c r="L764" s="289">
        <f aca="true" t="shared" si="169" ref="L764:L771">(Y764*K764%)/G764*1000</f>
        <v>24780</v>
      </c>
      <c r="M764" s="288">
        <v>6</v>
      </c>
      <c r="N764" s="289">
        <f aca="true" t="shared" si="170" ref="N764:N771">(Y764*M764%)/G764*1000</f>
        <v>24780</v>
      </c>
      <c r="O764" s="290">
        <v>3.15</v>
      </c>
      <c r="P764" s="291" t="s">
        <v>1590</v>
      </c>
      <c r="Q764" s="288">
        <v>1.05</v>
      </c>
      <c r="R764" s="289">
        <f aca="true" t="shared" si="171" ref="R764:R771">O764*diezel*Q764</f>
        <v>63443.86965</v>
      </c>
      <c r="S764" s="292" t="s">
        <v>2398</v>
      </c>
      <c r="T764" s="296">
        <f>'Nhan cong'!$M$182</f>
        <v>197876.53846153847</v>
      </c>
      <c r="U764" s="250">
        <f>ROUND((J764+L764+N764+R764+T764),0)+1</f>
        <v>357963</v>
      </c>
      <c r="V764" s="250">
        <v>386231</v>
      </c>
      <c r="W764" s="250">
        <v>357963</v>
      </c>
      <c r="X764" s="250">
        <v>316503</v>
      </c>
      <c r="Y764" s="293">
        <v>82600</v>
      </c>
      <c r="Z764" s="294"/>
      <c r="AA764" s="251"/>
      <c r="AB764" s="251"/>
    </row>
    <row r="765" spans="1:28" s="295" customFormat="1" ht="15.75">
      <c r="A765" s="284">
        <v>617</v>
      </c>
      <c r="B765" s="284" t="s">
        <v>3800</v>
      </c>
      <c r="C765" s="284" t="s">
        <v>2399</v>
      </c>
      <c r="D765" s="284" t="s">
        <v>2176</v>
      </c>
      <c r="E765" s="285" t="s">
        <v>2083</v>
      </c>
      <c r="F765" s="286" t="s">
        <v>2400</v>
      </c>
      <c r="G765" s="284">
        <v>200</v>
      </c>
      <c r="H765" s="284">
        <v>12</v>
      </c>
      <c r="I765" s="284">
        <v>0.95</v>
      </c>
      <c r="J765" s="287">
        <f t="shared" si="168"/>
        <v>51699</v>
      </c>
      <c r="K765" s="288">
        <v>6</v>
      </c>
      <c r="L765" s="289">
        <f t="shared" si="169"/>
        <v>27210</v>
      </c>
      <c r="M765" s="288">
        <v>6</v>
      </c>
      <c r="N765" s="289">
        <f t="shared" si="170"/>
        <v>27210</v>
      </c>
      <c r="O765" s="290">
        <v>4.83</v>
      </c>
      <c r="P765" s="291" t="s">
        <v>1590</v>
      </c>
      <c r="Q765" s="288">
        <v>1.05</v>
      </c>
      <c r="R765" s="289">
        <f t="shared" si="171"/>
        <v>97280.60013</v>
      </c>
      <c r="S765" s="292" t="s">
        <v>2398</v>
      </c>
      <c r="T765" s="296">
        <f>'Nhan cong'!$M$182</f>
        <v>197876.53846153847</v>
      </c>
      <c r="U765" s="250">
        <f>ROUND((J765+L765+N765+R765+T765),0)+1</f>
        <v>401277</v>
      </c>
      <c r="V765" s="250">
        <v>429545</v>
      </c>
      <c r="W765" s="250">
        <v>401277</v>
      </c>
      <c r="X765" s="250">
        <v>359817</v>
      </c>
      <c r="Y765" s="293">
        <v>90700</v>
      </c>
      <c r="Z765" s="294"/>
      <c r="AA765" s="251"/>
      <c r="AB765" s="251"/>
    </row>
    <row r="766" spans="1:28" s="295" customFormat="1" ht="15.75">
      <c r="A766" s="284">
        <v>618</v>
      </c>
      <c r="B766" s="284" t="s">
        <v>3801</v>
      </c>
      <c r="C766" s="284" t="s">
        <v>2401</v>
      </c>
      <c r="D766" s="284" t="s">
        <v>2183</v>
      </c>
      <c r="E766" s="285" t="s">
        <v>2084</v>
      </c>
      <c r="F766" s="286" t="s">
        <v>2402</v>
      </c>
      <c r="G766" s="284">
        <v>200</v>
      </c>
      <c r="H766" s="284">
        <v>12</v>
      </c>
      <c r="I766" s="284">
        <v>0.95</v>
      </c>
      <c r="J766" s="287">
        <f t="shared" si="168"/>
        <v>56088</v>
      </c>
      <c r="K766" s="288">
        <v>5.4</v>
      </c>
      <c r="L766" s="289">
        <f t="shared" si="169"/>
        <v>26568</v>
      </c>
      <c r="M766" s="288">
        <v>6</v>
      </c>
      <c r="N766" s="289">
        <f t="shared" si="170"/>
        <v>29520</v>
      </c>
      <c r="O766" s="290">
        <v>6.3</v>
      </c>
      <c r="P766" s="291" t="s">
        <v>1590</v>
      </c>
      <c r="Q766" s="288">
        <v>1.05</v>
      </c>
      <c r="R766" s="289">
        <f t="shared" si="171"/>
        <v>126887.7393</v>
      </c>
      <c r="S766" s="292" t="s">
        <v>2398</v>
      </c>
      <c r="T766" s="296">
        <f>'Nhan cong'!$M$182</f>
        <v>197876.53846153847</v>
      </c>
      <c r="U766" s="250">
        <f>ROUND((J766+L766+N766+R766+T766),0)+1</f>
        <v>436941</v>
      </c>
      <c r="V766" s="250">
        <v>465209</v>
      </c>
      <c r="W766" s="250">
        <v>436941</v>
      </c>
      <c r="X766" s="250">
        <v>395481</v>
      </c>
      <c r="Y766" s="293">
        <v>98400</v>
      </c>
      <c r="Z766" s="294"/>
      <c r="AA766" s="251"/>
      <c r="AB766" s="251"/>
    </row>
    <row r="767" spans="1:28" s="295" customFormat="1" ht="31.5">
      <c r="A767" s="284">
        <v>619</v>
      </c>
      <c r="B767" s="284" t="s">
        <v>3802</v>
      </c>
      <c r="C767" s="284" t="s">
        <v>2403</v>
      </c>
      <c r="D767" s="284" t="s">
        <v>2198</v>
      </c>
      <c r="E767" s="285" t="s">
        <v>2085</v>
      </c>
      <c r="F767" s="286" t="s">
        <v>2404</v>
      </c>
      <c r="G767" s="284">
        <v>200</v>
      </c>
      <c r="H767" s="284">
        <v>12</v>
      </c>
      <c r="I767" s="284">
        <v>0.95</v>
      </c>
      <c r="J767" s="287">
        <f t="shared" si="168"/>
        <v>72047.99999999999</v>
      </c>
      <c r="K767" s="288">
        <v>5.4</v>
      </c>
      <c r="L767" s="289">
        <f t="shared" si="169"/>
        <v>34128</v>
      </c>
      <c r="M767" s="288">
        <v>6</v>
      </c>
      <c r="N767" s="289">
        <f t="shared" si="170"/>
        <v>37920</v>
      </c>
      <c r="O767" s="290">
        <v>9.9</v>
      </c>
      <c r="P767" s="291" t="s">
        <v>1590</v>
      </c>
      <c r="Q767" s="288">
        <v>1.05</v>
      </c>
      <c r="R767" s="289">
        <f t="shared" si="171"/>
        <v>199395.01890000002</v>
      </c>
      <c r="S767" s="292" t="s">
        <v>2405</v>
      </c>
      <c r="T767" s="296">
        <f>'Nhan cong'!$M$182+'Nhan cong'!$M$151</f>
        <v>327567.6923076923</v>
      </c>
      <c r="U767" s="250">
        <f>ROUND((J767+L767+N767+R767+T767),0)</f>
        <v>671059</v>
      </c>
      <c r="V767" s="250">
        <v>717854</v>
      </c>
      <c r="W767" s="250">
        <v>671059</v>
      </c>
      <c r="X767" s="250">
        <v>602425</v>
      </c>
      <c r="Y767" s="293">
        <v>126400</v>
      </c>
      <c r="Z767" s="294"/>
      <c r="AA767" s="251"/>
      <c r="AB767" s="251"/>
    </row>
    <row r="768" spans="1:28" s="295" customFormat="1" ht="31.5">
      <c r="A768" s="284">
        <v>620</v>
      </c>
      <c r="B768" s="284" t="s">
        <v>3803</v>
      </c>
      <c r="C768" s="284" t="s">
        <v>2406</v>
      </c>
      <c r="D768" s="284" t="s">
        <v>2203</v>
      </c>
      <c r="E768" s="285" t="s">
        <v>2086</v>
      </c>
      <c r="F768" s="286" t="s">
        <v>2407</v>
      </c>
      <c r="G768" s="284">
        <v>200</v>
      </c>
      <c r="H768" s="284">
        <v>11</v>
      </c>
      <c r="I768" s="284">
        <v>0.95</v>
      </c>
      <c r="J768" s="287">
        <f t="shared" si="168"/>
        <v>94520.24999999999</v>
      </c>
      <c r="K768" s="288">
        <v>4.62</v>
      </c>
      <c r="L768" s="289">
        <f t="shared" si="169"/>
        <v>41787.9</v>
      </c>
      <c r="M768" s="288">
        <v>6</v>
      </c>
      <c r="N768" s="289">
        <f t="shared" si="170"/>
        <v>54270</v>
      </c>
      <c r="O768" s="290">
        <v>13.5</v>
      </c>
      <c r="P768" s="291" t="s">
        <v>1590</v>
      </c>
      <c r="Q768" s="288">
        <v>1.05</v>
      </c>
      <c r="R768" s="289">
        <f t="shared" si="171"/>
        <v>271902.29850000003</v>
      </c>
      <c r="S768" s="292" t="s">
        <v>2405</v>
      </c>
      <c r="T768" s="296">
        <f>'Nhan cong'!$M$182+'Nhan cong'!$M$151</f>
        <v>327567.6923076923</v>
      </c>
      <c r="U768" s="250">
        <f>ROUND((J768+L768+N768+R768+T768),0)</f>
        <v>790048</v>
      </c>
      <c r="V768" s="250">
        <v>836843</v>
      </c>
      <c r="W768" s="250">
        <v>790048</v>
      </c>
      <c r="X768" s="250">
        <v>721414</v>
      </c>
      <c r="Y768" s="293">
        <v>180900</v>
      </c>
      <c r="Z768" s="294"/>
      <c r="AA768" s="251"/>
      <c r="AB768" s="251"/>
    </row>
    <row r="769" spans="1:28" s="295" customFormat="1" ht="31.5">
      <c r="A769" s="284">
        <v>621</v>
      </c>
      <c r="B769" s="284">
        <v>0</v>
      </c>
      <c r="C769" s="284" t="s">
        <v>2408</v>
      </c>
      <c r="D769" s="284" t="s">
        <v>2211</v>
      </c>
      <c r="E769" s="285" t="s">
        <v>2087</v>
      </c>
      <c r="F769" s="286" t="s">
        <v>2409</v>
      </c>
      <c r="G769" s="284">
        <v>200</v>
      </c>
      <c r="H769" s="284">
        <v>11</v>
      </c>
      <c r="I769" s="284">
        <v>0.95</v>
      </c>
      <c r="J769" s="287">
        <f t="shared" si="168"/>
        <v>123153.24999999999</v>
      </c>
      <c r="K769" s="288">
        <v>4.62</v>
      </c>
      <c r="L769" s="289">
        <f t="shared" si="169"/>
        <v>54446.7</v>
      </c>
      <c r="M769" s="288">
        <v>6</v>
      </c>
      <c r="N769" s="289">
        <f t="shared" si="170"/>
        <v>70710</v>
      </c>
      <c r="O769" s="290">
        <v>16.2</v>
      </c>
      <c r="P769" s="291" t="s">
        <v>1590</v>
      </c>
      <c r="Q769" s="288">
        <v>1.05</v>
      </c>
      <c r="R769" s="289">
        <f t="shared" si="171"/>
        <v>326282.7582</v>
      </c>
      <c r="S769" s="292" t="s">
        <v>2405</v>
      </c>
      <c r="T769" s="296">
        <f>'Nhan cong'!$M$182+'Nhan cong'!$M$151</f>
        <v>327567.6923076923</v>
      </c>
      <c r="U769" s="250">
        <f>ROUND((J769+L769+N769+R769+T769),0)+1</f>
        <v>902161</v>
      </c>
      <c r="V769" s="250">
        <v>948956</v>
      </c>
      <c r="W769" s="250">
        <v>902161</v>
      </c>
      <c r="X769" s="250">
        <v>833527</v>
      </c>
      <c r="Y769" s="293">
        <v>235700</v>
      </c>
      <c r="Z769" s="294"/>
      <c r="AA769" s="251"/>
      <c r="AB769" s="251"/>
    </row>
    <row r="770" spans="1:28" s="295" customFormat="1" ht="31.5">
      <c r="A770" s="284">
        <v>622</v>
      </c>
      <c r="B770" s="284">
        <v>0</v>
      </c>
      <c r="C770" s="284" t="s">
        <v>2410</v>
      </c>
      <c r="D770" s="284" t="s">
        <v>2157</v>
      </c>
      <c r="E770" s="285" t="s">
        <v>2088</v>
      </c>
      <c r="F770" s="286" t="s">
        <v>2411</v>
      </c>
      <c r="G770" s="284">
        <v>200</v>
      </c>
      <c r="H770" s="284">
        <v>11</v>
      </c>
      <c r="I770" s="284">
        <v>0.95</v>
      </c>
      <c r="J770" s="287">
        <f t="shared" si="168"/>
        <v>150950.24999999997</v>
      </c>
      <c r="K770" s="288">
        <v>4.62</v>
      </c>
      <c r="L770" s="289">
        <f t="shared" si="169"/>
        <v>66735.9</v>
      </c>
      <c r="M770" s="288">
        <v>6</v>
      </c>
      <c r="N770" s="289">
        <f t="shared" si="170"/>
        <v>86670</v>
      </c>
      <c r="O770" s="290">
        <v>18</v>
      </c>
      <c r="P770" s="291" t="s">
        <v>1590</v>
      </c>
      <c r="Q770" s="288">
        <v>1.05</v>
      </c>
      <c r="R770" s="289">
        <f t="shared" si="171"/>
        <v>362536.39800000004</v>
      </c>
      <c r="S770" s="292" t="s">
        <v>2405</v>
      </c>
      <c r="T770" s="296">
        <f>'Nhan cong'!$M$182+'Nhan cong'!$M$151</f>
        <v>327567.6923076923</v>
      </c>
      <c r="U770" s="250">
        <f>ROUND((J770+L770+N770+R770+T770),0)</f>
        <v>994460</v>
      </c>
      <c r="V770" s="250">
        <v>1041256</v>
      </c>
      <c r="W770" s="250">
        <v>994460</v>
      </c>
      <c r="X770" s="250">
        <v>925827</v>
      </c>
      <c r="Y770" s="293">
        <v>288900</v>
      </c>
      <c r="Z770" s="294"/>
      <c r="AA770" s="251"/>
      <c r="AB770" s="251"/>
    </row>
    <row r="771" spans="1:28" s="295" customFormat="1" ht="31.5">
      <c r="A771" s="284">
        <v>623</v>
      </c>
      <c r="B771" s="284" t="s">
        <v>3799</v>
      </c>
      <c r="C771" s="284" t="s">
        <v>2412</v>
      </c>
      <c r="D771" s="284" t="s">
        <v>2166</v>
      </c>
      <c r="E771" s="285" t="s">
        <v>2089</v>
      </c>
      <c r="F771" s="286" t="s">
        <v>2413</v>
      </c>
      <c r="G771" s="284">
        <v>200</v>
      </c>
      <c r="H771" s="284">
        <v>11</v>
      </c>
      <c r="I771" s="284">
        <v>0.95</v>
      </c>
      <c r="J771" s="287">
        <f t="shared" si="168"/>
        <v>166050.5</v>
      </c>
      <c r="K771" s="301">
        <v>4.62</v>
      </c>
      <c r="L771" s="289">
        <f t="shared" si="169"/>
        <v>73411.8</v>
      </c>
      <c r="M771" s="301">
        <v>6</v>
      </c>
      <c r="N771" s="289">
        <f t="shared" si="170"/>
        <v>95340</v>
      </c>
      <c r="O771" s="302">
        <v>22.5</v>
      </c>
      <c r="P771" s="272" t="s">
        <v>1590</v>
      </c>
      <c r="Q771" s="288">
        <v>1.05</v>
      </c>
      <c r="R771" s="289">
        <f t="shared" si="171"/>
        <v>453170.49750000006</v>
      </c>
      <c r="S771" s="315" t="s">
        <v>2414</v>
      </c>
      <c r="T771" s="296">
        <f>'Nhan cong'!$M$182+'Nhan cong'!$M$156+'Nhan cong'!$M$151</f>
        <v>439958.0769230769</v>
      </c>
      <c r="U771" s="250">
        <f>ROUND((J771+L771+N771+R771+T771),0)</f>
        <v>1227931</v>
      </c>
      <c r="V771" s="250">
        <v>1290783</v>
      </c>
      <c r="W771" s="250">
        <v>1227931</v>
      </c>
      <c r="X771" s="250">
        <v>1135749</v>
      </c>
      <c r="Y771" s="293">
        <v>317800</v>
      </c>
      <c r="Z771" s="294"/>
      <c r="AA771" s="251"/>
      <c r="AB771" s="251"/>
    </row>
    <row r="772" spans="1:28" s="295" customFormat="1" ht="15.75">
      <c r="A772" s="297"/>
      <c r="B772" s="284"/>
      <c r="C772" s="298"/>
      <c r="D772" s="284"/>
      <c r="E772" s="272"/>
      <c r="F772" s="149" t="s">
        <v>2415</v>
      </c>
      <c r="G772" s="284"/>
      <c r="H772" s="284"/>
      <c r="I772" s="284"/>
      <c r="J772" s="299"/>
      <c r="K772" s="301"/>
      <c r="L772" s="289"/>
      <c r="M772" s="301"/>
      <c r="N772" s="300"/>
      <c r="O772" s="302"/>
      <c r="P772" s="272"/>
      <c r="Q772" s="288"/>
      <c r="R772" s="300"/>
      <c r="S772" s="292"/>
      <c r="T772" s="296"/>
      <c r="U772" s="250"/>
      <c r="V772" s="250"/>
      <c r="W772" s="250"/>
      <c r="X772" s="250"/>
      <c r="Y772" s="293"/>
      <c r="Z772" s="385"/>
      <c r="AA772" s="251"/>
      <c r="AB772" s="251"/>
    </row>
    <row r="773" spans="1:28" s="295" customFormat="1" ht="31.5">
      <c r="A773" s="297">
        <v>624</v>
      </c>
      <c r="B773" s="284" t="s">
        <v>684</v>
      </c>
      <c r="C773" s="298" t="s">
        <v>2416</v>
      </c>
      <c r="D773" s="284" t="s">
        <v>3610</v>
      </c>
      <c r="E773" s="285" t="s">
        <v>2090</v>
      </c>
      <c r="F773" s="286" t="s">
        <v>2417</v>
      </c>
      <c r="G773" s="284">
        <v>200</v>
      </c>
      <c r="H773" s="284">
        <v>12</v>
      </c>
      <c r="I773" s="284">
        <v>0.95</v>
      </c>
      <c r="J773" s="287">
        <f aca="true" t="shared" si="172" ref="J773:J779">Y773*H773%*I773/G773*1000</f>
        <v>24225</v>
      </c>
      <c r="K773" s="301">
        <v>7.2</v>
      </c>
      <c r="L773" s="289">
        <f aca="true" t="shared" si="173" ref="L773:L779">(Y773*K773%)/G773*1000</f>
        <v>15300.000000000002</v>
      </c>
      <c r="M773" s="301">
        <v>6</v>
      </c>
      <c r="N773" s="289">
        <f aca="true" t="shared" si="174" ref="N773:N779">(Y773*M773%)/G773*1000</f>
        <v>12750</v>
      </c>
      <c r="O773" s="302">
        <v>19.2</v>
      </c>
      <c r="P773" s="272"/>
      <c r="Q773" s="288"/>
      <c r="R773" s="300"/>
      <c r="S773" s="315" t="s">
        <v>140</v>
      </c>
      <c r="T773" s="296">
        <f>'Nhan cong'!$M$182+'Nhan cong'!$M$152</f>
        <v>346395</v>
      </c>
      <c r="U773" s="250">
        <f aca="true" t="shared" si="175" ref="U773:U779">ROUND((J773+L773+N773+R773+T773),0)</f>
        <v>398670</v>
      </c>
      <c r="V773" s="250">
        <v>820322</v>
      </c>
      <c r="W773" s="250">
        <v>772654</v>
      </c>
      <c r="X773" s="250">
        <v>702741</v>
      </c>
      <c r="Y773" s="293">
        <v>42500</v>
      </c>
      <c r="Z773" s="294"/>
      <c r="AA773" s="251"/>
      <c r="AB773" s="251"/>
    </row>
    <row r="774" spans="1:28" s="295" customFormat="1" ht="31.5">
      <c r="A774" s="284">
        <v>625</v>
      </c>
      <c r="B774" s="284">
        <v>0</v>
      </c>
      <c r="C774" s="284" t="s">
        <v>141</v>
      </c>
      <c r="D774" s="284" t="s">
        <v>3611</v>
      </c>
      <c r="E774" s="285" t="s">
        <v>2091</v>
      </c>
      <c r="F774" s="286" t="s">
        <v>142</v>
      </c>
      <c r="G774" s="284">
        <v>200</v>
      </c>
      <c r="H774" s="284">
        <v>12</v>
      </c>
      <c r="I774" s="284">
        <v>0.95</v>
      </c>
      <c r="J774" s="287">
        <f t="shared" si="172"/>
        <v>255303</v>
      </c>
      <c r="K774" s="301">
        <v>5.2</v>
      </c>
      <c r="L774" s="289">
        <f t="shared" si="173"/>
        <v>116454.00000000001</v>
      </c>
      <c r="M774" s="301">
        <v>6</v>
      </c>
      <c r="N774" s="289">
        <f t="shared" si="174"/>
        <v>134370</v>
      </c>
      <c r="O774" s="302">
        <v>39.5</v>
      </c>
      <c r="P774" s="272" t="s">
        <v>1590</v>
      </c>
      <c r="Q774" s="288">
        <v>1.05</v>
      </c>
      <c r="R774" s="289">
        <f aca="true" t="shared" si="176" ref="R774:R779">O774*diezel*Q774</f>
        <v>795565.9845</v>
      </c>
      <c r="S774" s="292" t="s">
        <v>143</v>
      </c>
      <c r="T774" s="296">
        <f>'Nhan cong'!$M$182+'Nhan cong'!$M$156+'Nhan cong'!$M$146</f>
        <v>429272.3076923077</v>
      </c>
      <c r="U774" s="250">
        <f>ROUND((J774+L774+N774+R774+T774),0)+1</f>
        <v>1730966</v>
      </c>
      <c r="V774" s="250">
        <v>1792290</v>
      </c>
      <c r="W774" s="250">
        <v>1730966</v>
      </c>
      <c r="X774" s="250">
        <v>1641023</v>
      </c>
      <c r="Y774" s="293">
        <v>447900</v>
      </c>
      <c r="Z774" s="294"/>
      <c r="AA774" s="251"/>
      <c r="AB774" s="251"/>
    </row>
    <row r="775" spans="1:28" s="295" customFormat="1" ht="47.25">
      <c r="A775" s="284">
        <v>626</v>
      </c>
      <c r="B775" s="284">
        <v>0</v>
      </c>
      <c r="C775" s="284" t="s">
        <v>144</v>
      </c>
      <c r="D775" s="284" t="s">
        <v>3612</v>
      </c>
      <c r="E775" s="285" t="s">
        <v>2092</v>
      </c>
      <c r="F775" s="286" t="s">
        <v>145</v>
      </c>
      <c r="G775" s="284">
        <v>200</v>
      </c>
      <c r="H775" s="284">
        <v>12</v>
      </c>
      <c r="I775" s="284">
        <v>0.95</v>
      </c>
      <c r="J775" s="287">
        <f t="shared" si="172"/>
        <v>337041</v>
      </c>
      <c r="K775" s="301">
        <v>5</v>
      </c>
      <c r="L775" s="289">
        <f t="shared" si="173"/>
        <v>147825</v>
      </c>
      <c r="M775" s="301">
        <v>6</v>
      </c>
      <c r="N775" s="289">
        <f t="shared" si="174"/>
        <v>177390</v>
      </c>
      <c r="O775" s="302">
        <v>50.6</v>
      </c>
      <c r="P775" s="272" t="s">
        <v>1590</v>
      </c>
      <c r="Q775" s="288">
        <v>1.05</v>
      </c>
      <c r="R775" s="289">
        <f t="shared" si="176"/>
        <v>1019130.0966000002</v>
      </c>
      <c r="S775" s="292" t="s">
        <v>146</v>
      </c>
      <c r="T775" s="296">
        <f>'Nhan cong'!$M$182+'Nhan cong'!$M$156+'Nhan cong'!$M$146</f>
        <v>429272.3076923077</v>
      </c>
      <c r="U775" s="250">
        <f>ROUND((J775+L775+N775+R775+T775),0)+1</f>
        <v>2110659</v>
      </c>
      <c r="V775" s="250">
        <v>2171983</v>
      </c>
      <c r="W775" s="250">
        <v>2110659</v>
      </c>
      <c r="X775" s="250">
        <v>2020716</v>
      </c>
      <c r="Y775" s="293">
        <v>591300</v>
      </c>
      <c r="Z775" s="294"/>
      <c r="AA775" s="251"/>
      <c r="AB775" s="251"/>
    </row>
    <row r="776" spans="1:28" s="295" customFormat="1" ht="47.25">
      <c r="A776" s="284">
        <v>627</v>
      </c>
      <c r="B776" s="284">
        <v>0</v>
      </c>
      <c r="C776" s="284" t="s">
        <v>147</v>
      </c>
      <c r="D776" s="284" t="s">
        <v>3613</v>
      </c>
      <c r="E776" s="285" t="s">
        <v>2093</v>
      </c>
      <c r="F776" s="286" t="s">
        <v>148</v>
      </c>
      <c r="G776" s="284">
        <v>200</v>
      </c>
      <c r="H776" s="284">
        <v>12</v>
      </c>
      <c r="I776" s="284">
        <v>0.95</v>
      </c>
      <c r="J776" s="287">
        <f t="shared" si="172"/>
        <v>371184</v>
      </c>
      <c r="K776" s="301">
        <v>5</v>
      </c>
      <c r="L776" s="289">
        <f t="shared" si="173"/>
        <v>162800</v>
      </c>
      <c r="M776" s="301">
        <v>6</v>
      </c>
      <c r="N776" s="289">
        <f t="shared" si="174"/>
        <v>195360</v>
      </c>
      <c r="O776" s="302">
        <v>67.5</v>
      </c>
      <c r="P776" s="272" t="s">
        <v>1590</v>
      </c>
      <c r="Q776" s="288">
        <v>1.05</v>
      </c>
      <c r="R776" s="289">
        <f t="shared" si="176"/>
        <v>1359511.4925000002</v>
      </c>
      <c r="S776" s="292" t="s">
        <v>146</v>
      </c>
      <c r="T776" s="296">
        <f>'Nhan cong'!$M$182+'Nhan cong'!$M$156+'Nhan cong'!$M$146</f>
        <v>429272.3076923077</v>
      </c>
      <c r="U776" s="250">
        <f t="shared" si="175"/>
        <v>2518128</v>
      </c>
      <c r="V776" s="250">
        <v>2579452</v>
      </c>
      <c r="W776" s="250">
        <v>2518128</v>
      </c>
      <c r="X776" s="250">
        <v>2428185</v>
      </c>
      <c r="Y776" s="293">
        <v>651200</v>
      </c>
      <c r="Z776" s="294"/>
      <c r="AA776" s="251"/>
      <c r="AB776" s="251"/>
    </row>
    <row r="777" spans="1:28" s="295" customFormat="1" ht="63">
      <c r="A777" s="284">
        <v>628</v>
      </c>
      <c r="B777" s="284">
        <v>0</v>
      </c>
      <c r="C777" s="284" t="s">
        <v>149</v>
      </c>
      <c r="D777" s="284" t="s">
        <v>3614</v>
      </c>
      <c r="E777" s="285" t="s">
        <v>2094</v>
      </c>
      <c r="F777" s="286" t="s">
        <v>2409</v>
      </c>
      <c r="G777" s="284">
        <v>200</v>
      </c>
      <c r="H777" s="284">
        <v>11</v>
      </c>
      <c r="I777" s="284">
        <v>0.95</v>
      </c>
      <c r="J777" s="287">
        <f t="shared" si="172"/>
        <v>414081.25</v>
      </c>
      <c r="K777" s="301">
        <v>5</v>
      </c>
      <c r="L777" s="289">
        <f t="shared" si="173"/>
        <v>198125</v>
      </c>
      <c r="M777" s="301">
        <v>6</v>
      </c>
      <c r="N777" s="289">
        <f t="shared" si="174"/>
        <v>237750</v>
      </c>
      <c r="O777" s="302">
        <v>110</v>
      </c>
      <c r="P777" s="272" t="s">
        <v>1590</v>
      </c>
      <c r="Q777" s="288">
        <v>1.05</v>
      </c>
      <c r="R777" s="289">
        <f t="shared" si="176"/>
        <v>2215500.2100000004</v>
      </c>
      <c r="S777" s="315" t="s">
        <v>150</v>
      </c>
      <c r="T777" s="296">
        <f>BLthodkmay!E202</f>
        <v>879472</v>
      </c>
      <c r="U777" s="250">
        <f t="shared" si="175"/>
        <v>3944928</v>
      </c>
      <c r="V777" s="250">
        <v>3997873</v>
      </c>
      <c r="W777" s="250">
        <v>3881320</v>
      </c>
      <c r="X777" s="250">
        <v>3710377</v>
      </c>
      <c r="Y777" s="293">
        <v>792500</v>
      </c>
      <c r="Z777" s="294"/>
      <c r="AA777" s="251"/>
      <c r="AB777" s="251"/>
    </row>
    <row r="778" spans="1:28" s="295" customFormat="1" ht="94.5">
      <c r="A778" s="284">
        <v>629</v>
      </c>
      <c r="B778" s="284">
        <v>0</v>
      </c>
      <c r="C778" s="284" t="s">
        <v>151</v>
      </c>
      <c r="D778" s="284" t="s">
        <v>3615</v>
      </c>
      <c r="E778" s="285" t="s">
        <v>2095</v>
      </c>
      <c r="F778" s="286" t="s">
        <v>2413</v>
      </c>
      <c r="G778" s="284">
        <v>200</v>
      </c>
      <c r="H778" s="284">
        <v>11</v>
      </c>
      <c r="I778" s="284">
        <v>0.95</v>
      </c>
      <c r="J778" s="287">
        <f t="shared" si="172"/>
        <v>664515.5</v>
      </c>
      <c r="K778" s="301">
        <v>4.2</v>
      </c>
      <c r="L778" s="289">
        <f t="shared" si="173"/>
        <v>267078.00000000006</v>
      </c>
      <c r="M778" s="301">
        <v>6</v>
      </c>
      <c r="N778" s="289">
        <f t="shared" si="174"/>
        <v>381540</v>
      </c>
      <c r="O778" s="302">
        <v>166.1</v>
      </c>
      <c r="P778" s="272" t="s">
        <v>1590</v>
      </c>
      <c r="Q778" s="288">
        <v>1.05</v>
      </c>
      <c r="R778" s="289">
        <f t="shared" si="176"/>
        <v>3345405.3170999996</v>
      </c>
      <c r="S778" s="322" t="s">
        <v>152</v>
      </c>
      <c r="T778" s="296">
        <f>BLthodkmay!E208</f>
        <v>1195845</v>
      </c>
      <c r="U778" s="250">
        <f t="shared" si="175"/>
        <v>5854384</v>
      </c>
      <c r="V778" s="250">
        <v>5872857</v>
      </c>
      <c r="W778" s="250">
        <v>5721066</v>
      </c>
      <c r="X778" s="250">
        <v>5498442</v>
      </c>
      <c r="Y778" s="293">
        <v>1271800</v>
      </c>
      <c r="Z778" s="294"/>
      <c r="AA778" s="251"/>
      <c r="AB778" s="251"/>
    </row>
    <row r="779" spans="1:28" s="295" customFormat="1" ht="94.5">
      <c r="A779" s="284">
        <v>630</v>
      </c>
      <c r="B779" s="284">
        <v>0</v>
      </c>
      <c r="C779" s="284" t="s">
        <v>153</v>
      </c>
      <c r="D779" s="284" t="s">
        <v>3616</v>
      </c>
      <c r="E779" s="285" t="s">
        <v>2096</v>
      </c>
      <c r="F779" s="286" t="s">
        <v>2904</v>
      </c>
      <c r="G779" s="284">
        <v>200</v>
      </c>
      <c r="H779" s="284">
        <v>11</v>
      </c>
      <c r="I779" s="284">
        <v>0.95</v>
      </c>
      <c r="J779" s="287">
        <f t="shared" si="172"/>
        <v>1195009.75</v>
      </c>
      <c r="K779" s="301">
        <v>3.8</v>
      </c>
      <c r="L779" s="289">
        <f t="shared" si="173"/>
        <v>434549.00000000006</v>
      </c>
      <c r="M779" s="301">
        <v>6</v>
      </c>
      <c r="N779" s="289">
        <f t="shared" si="174"/>
        <v>686130</v>
      </c>
      <c r="O779" s="302">
        <v>216.8</v>
      </c>
      <c r="P779" s="272" t="s">
        <v>1590</v>
      </c>
      <c r="Q779" s="288">
        <v>1.05</v>
      </c>
      <c r="R779" s="289">
        <f t="shared" si="176"/>
        <v>4366549.5048</v>
      </c>
      <c r="S779" s="323" t="s">
        <v>152</v>
      </c>
      <c r="T779" s="296">
        <f>BLthodkmay!E216</f>
        <v>1276242</v>
      </c>
      <c r="U779" s="250">
        <f t="shared" si="175"/>
        <v>7958480</v>
      </c>
      <c r="V779" s="250">
        <v>7896556</v>
      </c>
      <c r="W779" s="250">
        <v>7744766</v>
      </c>
      <c r="X779" s="250">
        <v>7522141</v>
      </c>
      <c r="Y779" s="293">
        <v>2287100</v>
      </c>
      <c r="Z779" s="294"/>
      <c r="AA779" s="251"/>
      <c r="AB779" s="251"/>
    </row>
    <row r="780" spans="1:28" s="295" customFormat="1" ht="15.75">
      <c r="A780" s="297"/>
      <c r="B780" s="284"/>
      <c r="C780" s="298"/>
      <c r="D780" s="284"/>
      <c r="E780" s="272"/>
      <c r="F780" s="149" t="s">
        <v>154</v>
      </c>
      <c r="G780" s="284"/>
      <c r="H780" s="284"/>
      <c r="I780" s="284"/>
      <c r="J780" s="299"/>
      <c r="K780" s="301"/>
      <c r="L780" s="289"/>
      <c r="M780" s="301"/>
      <c r="N780" s="300"/>
      <c r="O780" s="302"/>
      <c r="P780" s="272"/>
      <c r="Q780" s="288"/>
      <c r="R780" s="300"/>
      <c r="S780" s="292"/>
      <c r="T780" s="296"/>
      <c r="U780" s="250"/>
      <c r="V780" s="250"/>
      <c r="W780" s="250"/>
      <c r="X780" s="250"/>
      <c r="Y780" s="293"/>
      <c r="Z780" s="385"/>
      <c r="AA780" s="251"/>
      <c r="AB780" s="251"/>
    </row>
    <row r="781" spans="1:28" s="295" customFormat="1" ht="31.5">
      <c r="A781" s="284">
        <v>631</v>
      </c>
      <c r="B781" s="284">
        <v>0</v>
      </c>
      <c r="C781" s="284" t="s">
        <v>155</v>
      </c>
      <c r="D781" s="284" t="s">
        <v>3617</v>
      </c>
      <c r="E781" s="285" t="s">
        <v>2097</v>
      </c>
      <c r="F781" s="286" t="s">
        <v>142</v>
      </c>
      <c r="G781" s="284">
        <v>150</v>
      </c>
      <c r="H781" s="284">
        <v>11</v>
      </c>
      <c r="I781" s="284">
        <v>0.95</v>
      </c>
      <c r="J781" s="287">
        <f>Y781*H781%*I781/G781*1000</f>
        <v>77887.33333333333</v>
      </c>
      <c r="K781" s="301">
        <v>5.4</v>
      </c>
      <c r="L781" s="289">
        <f>(Y781*K781%)/G781*1000</f>
        <v>40248.00000000001</v>
      </c>
      <c r="M781" s="301">
        <v>6</v>
      </c>
      <c r="N781" s="289">
        <f>(Y781*M781%)/G781*1000</f>
        <v>44720</v>
      </c>
      <c r="O781" s="302">
        <v>105</v>
      </c>
      <c r="P781" s="272" t="s">
        <v>294</v>
      </c>
      <c r="Q781" s="288">
        <v>1.03</v>
      </c>
      <c r="R781" s="289">
        <f>O781*xang*Q781</f>
        <v>2094177.666</v>
      </c>
      <c r="S781" s="292" t="s">
        <v>156</v>
      </c>
      <c r="T781" s="296">
        <f>'Nhan cong'!$M$182+'Nhan cong'!$M$147</f>
        <v>333673.8461538461</v>
      </c>
      <c r="U781" s="250">
        <f>ROUND((J781+L781+N781+R781+T781),0)-1</f>
        <v>2590706</v>
      </c>
      <c r="V781" s="250">
        <v>2638375</v>
      </c>
      <c r="W781" s="250">
        <v>2590706</v>
      </c>
      <c r="X781" s="250">
        <v>2520794</v>
      </c>
      <c r="Y781" s="293">
        <v>111800</v>
      </c>
      <c r="Z781" s="294"/>
      <c r="AA781" s="251"/>
      <c r="AB781" s="251"/>
    </row>
    <row r="782" spans="1:28" s="295" customFormat="1" ht="31.5">
      <c r="A782" s="284">
        <v>632</v>
      </c>
      <c r="B782" s="284">
        <v>0</v>
      </c>
      <c r="C782" s="284" t="s">
        <v>157</v>
      </c>
      <c r="D782" s="284" t="s">
        <v>3618</v>
      </c>
      <c r="E782" s="285" t="s">
        <v>2098</v>
      </c>
      <c r="F782" s="286" t="s">
        <v>148</v>
      </c>
      <c r="G782" s="284">
        <v>150</v>
      </c>
      <c r="H782" s="284">
        <v>11</v>
      </c>
      <c r="I782" s="284">
        <v>0.95</v>
      </c>
      <c r="J782" s="287">
        <f>Y782*H782%*I782/G782*1000</f>
        <v>93562.33333333333</v>
      </c>
      <c r="K782" s="301">
        <v>5.4</v>
      </c>
      <c r="L782" s="289">
        <f>(Y782*K782%)/G782*1000</f>
        <v>48348.00000000001</v>
      </c>
      <c r="M782" s="301">
        <v>6</v>
      </c>
      <c r="N782" s="289">
        <f>(Y782*M782%)/G782*1000</f>
        <v>53720</v>
      </c>
      <c r="O782" s="302">
        <v>148</v>
      </c>
      <c r="P782" s="272" t="s">
        <v>294</v>
      </c>
      <c r="Q782" s="288">
        <v>1.03</v>
      </c>
      <c r="R782" s="289">
        <f>O782*xang*Q782</f>
        <v>2951793.2816</v>
      </c>
      <c r="S782" s="292" t="s">
        <v>156</v>
      </c>
      <c r="T782" s="296">
        <f>'Nhan cong'!$M$182+'Nhan cong'!$M$147</f>
        <v>333673.8461538461</v>
      </c>
      <c r="U782" s="250">
        <f>ROUND((J782+L782+N782+R782+T782),0)-1</f>
        <v>3481096</v>
      </c>
      <c r="V782" s="250">
        <v>3528766</v>
      </c>
      <c r="W782" s="250">
        <v>3481096</v>
      </c>
      <c r="X782" s="250">
        <v>3411185</v>
      </c>
      <c r="Y782" s="293">
        <v>134300</v>
      </c>
      <c r="Z782" s="294"/>
      <c r="AA782" s="251"/>
      <c r="AB782" s="251"/>
    </row>
    <row r="783" spans="1:28" s="295" customFormat="1" ht="31.5">
      <c r="A783" s="284">
        <v>633</v>
      </c>
      <c r="B783" s="284">
        <v>0</v>
      </c>
      <c r="C783" s="284" t="s">
        <v>158</v>
      </c>
      <c r="D783" s="284" t="s">
        <v>3619</v>
      </c>
      <c r="E783" s="285" t="s">
        <v>40</v>
      </c>
      <c r="F783" s="286" t="s">
        <v>2411</v>
      </c>
      <c r="G783" s="284">
        <v>150</v>
      </c>
      <c r="H783" s="284">
        <v>11</v>
      </c>
      <c r="I783" s="284">
        <v>0.95</v>
      </c>
      <c r="J783" s="287">
        <f>Y783*H783%*I783/G783*1000</f>
        <v>208442.66666666663</v>
      </c>
      <c r="K783" s="301">
        <v>4.6</v>
      </c>
      <c r="L783" s="289">
        <f>(Y783*K783%)/G783*1000</f>
        <v>91754.66666666667</v>
      </c>
      <c r="M783" s="301">
        <v>6</v>
      </c>
      <c r="N783" s="289">
        <f>(Y783*M783%)/G783*1000</f>
        <v>119680</v>
      </c>
      <c r="O783" s="302">
        <v>350</v>
      </c>
      <c r="P783" s="272" t="s">
        <v>294</v>
      </c>
      <c r="Q783" s="288">
        <v>1.03</v>
      </c>
      <c r="R783" s="289">
        <f>O783*xang*Q783</f>
        <v>6980592.22</v>
      </c>
      <c r="S783" s="292" t="s">
        <v>156</v>
      </c>
      <c r="T783" s="296">
        <f>'Nhan cong'!$M$182+'Nhan cong'!$M$147</f>
        <v>333673.8461538461</v>
      </c>
      <c r="U783" s="250">
        <f>ROUND((J783+L783+N783+R783+T783),0)-3</f>
        <v>7734140</v>
      </c>
      <c r="V783" s="250">
        <v>7781808</v>
      </c>
      <c r="W783" s="250">
        <v>7734140</v>
      </c>
      <c r="X783" s="250">
        <v>7664227</v>
      </c>
      <c r="Y783" s="293">
        <v>299200</v>
      </c>
      <c r="Z783" s="294"/>
      <c r="AA783" s="251"/>
      <c r="AB783" s="251"/>
    </row>
    <row r="784" spans="1:28" s="295" customFormat="1" ht="31.5">
      <c r="A784" s="284">
        <v>634</v>
      </c>
      <c r="B784" s="284">
        <v>0</v>
      </c>
      <c r="C784" s="284" t="s">
        <v>159</v>
      </c>
      <c r="D784" s="284" t="s">
        <v>3620</v>
      </c>
      <c r="E784" s="285" t="s">
        <v>41</v>
      </c>
      <c r="F784" s="286" t="s">
        <v>160</v>
      </c>
      <c r="G784" s="284">
        <v>150</v>
      </c>
      <c r="H784" s="284">
        <v>11</v>
      </c>
      <c r="I784" s="284">
        <v>0.95</v>
      </c>
      <c r="J784" s="287">
        <f>Y784*H784%*I784/G784*1000</f>
        <v>423225</v>
      </c>
      <c r="K784" s="301">
        <v>4.2</v>
      </c>
      <c r="L784" s="289">
        <f>(Y784*K784%)/G784*1000</f>
        <v>170100</v>
      </c>
      <c r="M784" s="301">
        <v>6</v>
      </c>
      <c r="N784" s="289">
        <f>(Y784*M784%)/G784*1000</f>
        <v>243000</v>
      </c>
      <c r="O784" s="302">
        <v>630</v>
      </c>
      <c r="P784" s="272" t="s">
        <v>294</v>
      </c>
      <c r="Q784" s="288">
        <v>1.03</v>
      </c>
      <c r="R784" s="289">
        <f>O784*xang*Q784</f>
        <v>12565065.996</v>
      </c>
      <c r="S784" s="292" t="s">
        <v>156</v>
      </c>
      <c r="T784" s="296">
        <f>'Nhan cong'!$M$182+'Nhan cong'!$M$147</f>
        <v>333673.8461538461</v>
      </c>
      <c r="U784" s="250">
        <f>ROUND((J784+L784+N784+R784+T784),0)-6</f>
        <v>13735059</v>
      </c>
      <c r="V784" s="250">
        <v>13782727</v>
      </c>
      <c r="W784" s="250">
        <v>13735059</v>
      </c>
      <c r="X784" s="250">
        <v>13665146</v>
      </c>
      <c r="Y784" s="293">
        <v>607500</v>
      </c>
      <c r="Z784" s="294"/>
      <c r="AA784" s="251"/>
      <c r="AB784" s="251"/>
    </row>
    <row r="785" spans="1:28" s="295" customFormat="1" ht="31.5">
      <c r="A785" s="284">
        <v>635</v>
      </c>
      <c r="B785" s="284">
        <v>0</v>
      </c>
      <c r="C785" s="284" t="s">
        <v>161</v>
      </c>
      <c r="D785" s="284" t="s">
        <v>3621</v>
      </c>
      <c r="E785" s="285" t="s">
        <v>162</v>
      </c>
      <c r="F785" s="286" t="s">
        <v>162</v>
      </c>
      <c r="G785" s="284">
        <v>120</v>
      </c>
      <c r="H785" s="284">
        <v>30</v>
      </c>
      <c r="I785" s="284">
        <v>0.95</v>
      </c>
      <c r="J785" s="287">
        <f>Y785*H785%*I785/G785*1000</f>
        <v>159837.5</v>
      </c>
      <c r="K785" s="301">
        <v>7.5</v>
      </c>
      <c r="L785" s="289">
        <f>(Y785*K785%)/G785*1000</f>
        <v>42062.5</v>
      </c>
      <c r="M785" s="301">
        <v>8</v>
      </c>
      <c r="N785" s="289">
        <f>(Y785*M785%)/G785*1000</f>
        <v>44866.666666666664</v>
      </c>
      <c r="O785" s="302"/>
      <c r="P785" s="272"/>
      <c r="Q785" s="288"/>
      <c r="R785" s="300">
        <f>+(O785*$AA$2)*(1+$AA$3)</f>
        <v>0</v>
      </c>
      <c r="S785" s="292" t="s">
        <v>2217</v>
      </c>
      <c r="T785" s="296">
        <f>'Nhan cong'!M76+'Nhan cong'!M72</f>
        <v>420686.5384615385</v>
      </c>
      <c r="U785" s="250">
        <f>ROUND((J785+L785+N785+R785+T785),0)+1</f>
        <v>667454</v>
      </c>
      <c r="V785" s="250">
        <v>727552</v>
      </c>
      <c r="W785" s="250">
        <v>667454</v>
      </c>
      <c r="X785" s="250">
        <v>579310</v>
      </c>
      <c r="Y785" s="293">
        <v>67300</v>
      </c>
      <c r="Z785" s="294"/>
      <c r="AA785" s="251"/>
      <c r="AB785" s="251"/>
    </row>
    <row r="786" spans="1:28" s="295" customFormat="1" ht="15.75">
      <c r="A786" s="297"/>
      <c r="B786" s="284"/>
      <c r="C786" s="298"/>
      <c r="D786" s="284"/>
      <c r="E786" s="272"/>
      <c r="F786" s="149" t="s">
        <v>163</v>
      </c>
      <c r="G786" s="284"/>
      <c r="H786" s="284"/>
      <c r="I786" s="284"/>
      <c r="J786" s="299"/>
      <c r="K786" s="301"/>
      <c r="L786" s="289"/>
      <c r="M786" s="301"/>
      <c r="N786" s="300"/>
      <c r="O786" s="302"/>
      <c r="P786" s="272"/>
      <c r="Q786" s="288"/>
      <c r="R786" s="300"/>
      <c r="S786" s="284"/>
      <c r="T786" s="296"/>
      <c r="U786" s="250"/>
      <c r="V786" s="250"/>
      <c r="W786" s="250"/>
      <c r="X786" s="250"/>
      <c r="Y786" s="293"/>
      <c r="Z786" s="385"/>
      <c r="AA786" s="251"/>
      <c r="AB786" s="251"/>
    </row>
    <row r="787" spans="1:28" s="295" customFormat="1" ht="15.75">
      <c r="A787" s="284">
        <v>636</v>
      </c>
      <c r="B787" s="284">
        <v>0</v>
      </c>
      <c r="C787" s="284" t="s">
        <v>164</v>
      </c>
      <c r="D787" s="284" t="s">
        <v>3622</v>
      </c>
      <c r="E787" s="285" t="s">
        <v>2099</v>
      </c>
      <c r="F787" s="286" t="s">
        <v>165</v>
      </c>
      <c r="G787" s="284">
        <v>280</v>
      </c>
      <c r="H787" s="284">
        <v>20</v>
      </c>
      <c r="I787" s="284">
        <v>1</v>
      </c>
      <c r="J787" s="287">
        <f>Y787*H787%*I787/G787*1000</f>
        <v>7071.428571428572</v>
      </c>
      <c r="K787" s="301">
        <v>9</v>
      </c>
      <c r="L787" s="289">
        <f>(Y787*K787%)/G787*1000</f>
        <v>3182.142857142857</v>
      </c>
      <c r="M787" s="301">
        <v>6</v>
      </c>
      <c r="N787" s="289">
        <f>(Y787*M787%)/G787*1000</f>
        <v>2121.4285714285716</v>
      </c>
      <c r="O787" s="302">
        <v>2.7</v>
      </c>
      <c r="P787" s="272" t="s">
        <v>294</v>
      </c>
      <c r="Q787" s="288">
        <v>1.03</v>
      </c>
      <c r="R787" s="289">
        <f>O787*xang*Q787</f>
        <v>53850.28284</v>
      </c>
      <c r="S787" s="284" t="s">
        <v>1183</v>
      </c>
      <c r="T787" s="296">
        <f>Nii3+Nii4</f>
        <v>271594.6153846154</v>
      </c>
      <c r="U787" s="250">
        <f>ROUND((J787+L787+N787+R787+T787),0)</f>
        <v>337820</v>
      </c>
      <c r="V787" s="250">
        <v>376619</v>
      </c>
      <c r="W787" s="250">
        <v>337820</v>
      </c>
      <c r="X787" s="250">
        <v>280914</v>
      </c>
      <c r="Y787" s="293">
        <v>9900</v>
      </c>
      <c r="Z787" s="294"/>
      <c r="AA787" s="251"/>
      <c r="AB787" s="251"/>
    </row>
    <row r="788" spans="1:28" s="295" customFormat="1" ht="15.75">
      <c r="A788" s="284">
        <v>637</v>
      </c>
      <c r="B788" s="284">
        <v>0</v>
      </c>
      <c r="C788" s="284" t="s">
        <v>166</v>
      </c>
      <c r="D788" s="284" t="s">
        <v>3623</v>
      </c>
      <c r="E788" s="285" t="s">
        <v>2100</v>
      </c>
      <c r="F788" s="286" t="s">
        <v>167</v>
      </c>
      <c r="G788" s="284">
        <v>280</v>
      </c>
      <c r="H788" s="284">
        <v>17</v>
      </c>
      <c r="I788" s="284">
        <v>0.95</v>
      </c>
      <c r="J788" s="287">
        <f>Y788*H788%*I788/G788*1000</f>
        <v>53352.67857142858</v>
      </c>
      <c r="K788" s="301">
        <v>7</v>
      </c>
      <c r="L788" s="289">
        <f>(Y788*K788%)/G788*1000</f>
        <v>23125.000000000004</v>
      </c>
      <c r="M788" s="301">
        <v>6</v>
      </c>
      <c r="N788" s="289">
        <f>(Y788*M788%)/G788*1000</f>
        <v>19821.428571428572</v>
      </c>
      <c r="O788" s="302">
        <v>11.4</v>
      </c>
      <c r="P788" s="272" t="s">
        <v>294</v>
      </c>
      <c r="Q788" s="288">
        <v>1.03</v>
      </c>
      <c r="R788" s="289">
        <f>O788*xang*Q788</f>
        <v>227367.86088000002</v>
      </c>
      <c r="S788" s="284" t="s">
        <v>1600</v>
      </c>
      <c r="T788" s="296">
        <f>Nii3+Nii5</f>
        <v>296019.23076923075</v>
      </c>
      <c r="U788" s="250">
        <f>ROUND((J788+L788+N788+R788+T788),0)</f>
        <v>619686</v>
      </c>
      <c r="V788" s="250">
        <v>661975</v>
      </c>
      <c r="W788" s="250">
        <v>619686</v>
      </c>
      <c r="X788" s="250">
        <v>557663</v>
      </c>
      <c r="Y788" s="293">
        <v>92500</v>
      </c>
      <c r="Z788" s="294"/>
      <c r="AA788" s="251"/>
      <c r="AB788" s="251"/>
    </row>
    <row r="789" spans="1:28" s="295" customFormat="1" ht="15.75">
      <c r="A789" s="297"/>
      <c r="B789" s="284"/>
      <c r="C789" s="298"/>
      <c r="D789" s="284"/>
      <c r="E789" s="272"/>
      <c r="F789" s="149" t="s">
        <v>168</v>
      </c>
      <c r="G789" s="284"/>
      <c r="H789" s="284"/>
      <c r="I789" s="284"/>
      <c r="J789" s="299"/>
      <c r="K789" s="301"/>
      <c r="L789" s="289"/>
      <c r="M789" s="301"/>
      <c r="N789" s="300"/>
      <c r="O789" s="302"/>
      <c r="P789" s="272"/>
      <c r="Q789" s="288"/>
      <c r="R789" s="300"/>
      <c r="S789" s="284"/>
      <c r="T789" s="296"/>
      <c r="U789" s="250"/>
      <c r="V789" s="250"/>
      <c r="W789" s="250"/>
      <c r="X789" s="250"/>
      <c r="Y789" s="293"/>
      <c r="Z789" s="385"/>
      <c r="AA789" s="251"/>
      <c r="AB789" s="251"/>
    </row>
    <row r="790" spans="1:28" s="295" customFormat="1" ht="15.75">
      <c r="A790" s="284">
        <v>638</v>
      </c>
      <c r="B790" s="284">
        <v>0</v>
      </c>
      <c r="C790" s="284" t="s">
        <v>169</v>
      </c>
      <c r="D790" s="284" t="s">
        <v>3624</v>
      </c>
      <c r="E790" s="285" t="s">
        <v>2101</v>
      </c>
      <c r="F790" s="286" t="s">
        <v>170</v>
      </c>
      <c r="G790" s="284">
        <v>280</v>
      </c>
      <c r="H790" s="284">
        <v>14</v>
      </c>
      <c r="I790" s="284">
        <v>0.95</v>
      </c>
      <c r="J790" s="287">
        <f>Y790*H790%*I790/G790*1000</f>
        <v>4719552.500000001</v>
      </c>
      <c r="K790" s="301">
        <v>5.5</v>
      </c>
      <c r="L790" s="289">
        <f>(Y790*K790%)/G790*1000</f>
        <v>1951694.6428571427</v>
      </c>
      <c r="M790" s="301">
        <v>6</v>
      </c>
      <c r="N790" s="289">
        <f>(Y790*M790%)/G790*1000</f>
        <v>2129121.4285714286</v>
      </c>
      <c r="O790" s="302"/>
      <c r="P790" s="272"/>
      <c r="Q790" s="288"/>
      <c r="R790" s="300">
        <f>+(O790*$AA$2)*(1+$AA$3)</f>
        <v>0</v>
      </c>
      <c r="S790" s="284" t="s">
        <v>171</v>
      </c>
      <c r="T790" s="296">
        <f>3*Nii4+Nii5</f>
        <v>608321.5384615385</v>
      </c>
      <c r="U790" s="250">
        <f>ROUND((J790+L790+N790+R790+T790),0)+1</f>
        <v>9408691</v>
      </c>
      <c r="V790" s="250">
        <v>9495594</v>
      </c>
      <c r="W790" s="250">
        <v>9408691</v>
      </c>
      <c r="X790" s="250">
        <v>9281233</v>
      </c>
      <c r="Y790" s="293">
        <v>9935900</v>
      </c>
      <c r="Z790" s="294"/>
      <c r="AA790" s="251"/>
      <c r="AB790" s="251"/>
    </row>
    <row r="791" spans="1:28" s="295" customFormat="1" ht="15.75">
      <c r="A791" s="305"/>
      <c r="B791" s="284"/>
      <c r="C791" s="298"/>
      <c r="D791" s="284"/>
      <c r="E791" s="272"/>
      <c r="F791" s="151" t="s">
        <v>1631</v>
      </c>
      <c r="G791" s="284"/>
      <c r="H791" s="284"/>
      <c r="I791" s="284"/>
      <c r="J791" s="299"/>
      <c r="K791" s="288"/>
      <c r="L791" s="289"/>
      <c r="M791" s="288"/>
      <c r="N791" s="300"/>
      <c r="O791" s="290"/>
      <c r="P791" s="291"/>
      <c r="Q791" s="288"/>
      <c r="R791" s="300"/>
      <c r="S791" s="292"/>
      <c r="T791" s="296"/>
      <c r="U791" s="250"/>
      <c r="V791" s="250"/>
      <c r="W791" s="250"/>
      <c r="X791" s="250"/>
      <c r="Y791" s="293"/>
      <c r="Z791" s="385"/>
      <c r="AA791" s="251"/>
      <c r="AB791" s="251"/>
    </row>
    <row r="792" spans="1:28" s="295" customFormat="1" ht="28.5" customHeight="1">
      <c r="A792" s="284">
        <v>639</v>
      </c>
      <c r="B792" s="284" t="s">
        <v>693</v>
      </c>
      <c r="C792" s="284" t="s">
        <v>1632</v>
      </c>
      <c r="D792" s="284" t="s">
        <v>3625</v>
      </c>
      <c r="E792" s="285" t="s">
        <v>2102</v>
      </c>
      <c r="F792" s="286" t="s">
        <v>2407</v>
      </c>
      <c r="G792" s="284">
        <v>200</v>
      </c>
      <c r="H792" s="284">
        <v>11</v>
      </c>
      <c r="I792" s="284">
        <v>0.95</v>
      </c>
      <c r="J792" s="287">
        <f>Y792*H792%*I792/G792*1000</f>
        <v>134805</v>
      </c>
      <c r="K792" s="288">
        <v>5.2</v>
      </c>
      <c r="L792" s="289">
        <f>(Y792*K792%)/G792*1000</f>
        <v>67080.00000000001</v>
      </c>
      <c r="M792" s="288">
        <v>6</v>
      </c>
      <c r="N792" s="289">
        <f>(Y792*M792%)/G792*1000</f>
        <v>77400</v>
      </c>
      <c r="O792" s="290">
        <v>68.25</v>
      </c>
      <c r="P792" s="291" t="s">
        <v>1590</v>
      </c>
      <c r="Q792" s="288">
        <v>1.05</v>
      </c>
      <c r="R792" s="289">
        <f>O792*diezel*Q792</f>
        <v>1374617.1757500002</v>
      </c>
      <c r="S792" s="292" t="s">
        <v>1633</v>
      </c>
      <c r="T792" s="296">
        <f>BLthodkmay!E23</f>
        <v>938433.4615384616</v>
      </c>
      <c r="U792" s="250">
        <f>ROUND((J792+L792+N792+R792+T792),0)</f>
        <v>2592336</v>
      </c>
      <c r="V792" s="250">
        <v>2632188</v>
      </c>
      <c r="W792" s="250">
        <v>2509900</v>
      </c>
      <c r="X792" s="250">
        <v>2330549</v>
      </c>
      <c r="Y792" s="293">
        <v>258000</v>
      </c>
      <c r="Z792" s="294"/>
      <c r="AA792" s="251"/>
      <c r="AB792" s="251"/>
    </row>
    <row r="793" spans="1:28" s="295" customFormat="1" ht="94.5">
      <c r="A793" s="284">
        <v>640</v>
      </c>
      <c r="B793" s="284" t="s">
        <v>692</v>
      </c>
      <c r="C793" s="284" t="s">
        <v>1634</v>
      </c>
      <c r="D793" s="284" t="s">
        <v>3626</v>
      </c>
      <c r="E793" s="285" t="s">
        <v>2103</v>
      </c>
      <c r="F793" s="286" t="s">
        <v>2413</v>
      </c>
      <c r="G793" s="284">
        <v>200</v>
      </c>
      <c r="H793" s="284">
        <v>11</v>
      </c>
      <c r="I793" s="284">
        <v>0.95</v>
      </c>
      <c r="J793" s="287">
        <f>Y793*H793%*I793/G793*1000</f>
        <v>320031.25</v>
      </c>
      <c r="K793" s="288">
        <v>4.95</v>
      </c>
      <c r="L793" s="289">
        <f>(Y793*K793%)/G793*1000</f>
        <v>151593.75</v>
      </c>
      <c r="M793" s="288">
        <v>6</v>
      </c>
      <c r="N793" s="289">
        <f>(Y793*M793%)/G793*1000</f>
        <v>183750</v>
      </c>
      <c r="O793" s="290">
        <v>94.5</v>
      </c>
      <c r="P793" s="291" t="s">
        <v>1590</v>
      </c>
      <c r="Q793" s="288">
        <v>1.05</v>
      </c>
      <c r="R793" s="289">
        <f>O793*diezel*Q793</f>
        <v>1903316.0895</v>
      </c>
      <c r="S793" s="292" t="s">
        <v>1635</v>
      </c>
      <c r="T793" s="296">
        <f>BLthodkmay!E29</f>
        <v>1193300.7692307692</v>
      </c>
      <c r="U793" s="250">
        <f>ROUND((J793+L793+N793+R793+T793),0)</f>
        <v>3751992</v>
      </c>
      <c r="V793" s="250">
        <v>3768356</v>
      </c>
      <c r="W793" s="250">
        <v>3617147</v>
      </c>
      <c r="X793" s="250">
        <v>3395376</v>
      </c>
      <c r="Y793" s="293">
        <v>612500</v>
      </c>
      <c r="Z793" s="294"/>
      <c r="AA793" s="251"/>
      <c r="AB793" s="251"/>
    </row>
    <row r="794" spans="1:28" s="295" customFormat="1" ht="94.5">
      <c r="A794" s="284">
        <v>641</v>
      </c>
      <c r="B794" s="284">
        <v>0</v>
      </c>
      <c r="C794" s="284" t="s">
        <v>1636</v>
      </c>
      <c r="D794" s="284" t="s">
        <v>3627</v>
      </c>
      <c r="E794" s="285" t="s">
        <v>2104</v>
      </c>
      <c r="F794" s="286" t="s">
        <v>1637</v>
      </c>
      <c r="G794" s="284">
        <v>200</v>
      </c>
      <c r="H794" s="284">
        <v>11</v>
      </c>
      <c r="I794" s="284">
        <v>0.95</v>
      </c>
      <c r="J794" s="287">
        <f>Y794*H794%*I794/G794*1000</f>
        <v>463457.5</v>
      </c>
      <c r="K794" s="288">
        <v>4.95</v>
      </c>
      <c r="L794" s="289">
        <f>(Y794*K794%)/G794*1000</f>
        <v>219532.5</v>
      </c>
      <c r="M794" s="288">
        <v>6</v>
      </c>
      <c r="N794" s="289">
        <f>(Y794*M794%)/G794*1000</f>
        <v>266100</v>
      </c>
      <c r="O794" s="290">
        <v>201.6</v>
      </c>
      <c r="P794" s="291" t="s">
        <v>1590</v>
      </c>
      <c r="Q794" s="288">
        <v>1.05</v>
      </c>
      <c r="R794" s="289">
        <f>O794*diezel*Q794</f>
        <v>4060407.6576</v>
      </c>
      <c r="S794" s="292" t="s">
        <v>1635</v>
      </c>
      <c r="T794" s="296">
        <f>T793</f>
        <v>1193300.7692307692</v>
      </c>
      <c r="U794" s="250">
        <f>ROUND((J794+L794+N794+R794+T794),0)</f>
        <v>6202798</v>
      </c>
      <c r="V794" s="250">
        <v>6231375</v>
      </c>
      <c r="W794" s="250">
        <v>6078639</v>
      </c>
      <c r="X794" s="250">
        <v>5864630</v>
      </c>
      <c r="Y794" s="293">
        <v>887000</v>
      </c>
      <c r="Z794" s="294"/>
      <c r="AA794" s="251"/>
      <c r="AB794" s="251"/>
    </row>
    <row r="795" spans="1:28" s="295" customFormat="1" ht="94.5">
      <c r="A795" s="284">
        <v>642</v>
      </c>
      <c r="B795" s="284" t="s">
        <v>681</v>
      </c>
      <c r="C795" s="284" t="s">
        <v>1638</v>
      </c>
      <c r="D795" s="284" t="s">
        <v>3628</v>
      </c>
      <c r="E795" s="285" t="s">
        <v>2105</v>
      </c>
      <c r="F795" s="286" t="s">
        <v>1639</v>
      </c>
      <c r="G795" s="284">
        <v>200</v>
      </c>
      <c r="H795" s="284">
        <v>11</v>
      </c>
      <c r="I795" s="284">
        <v>0.95</v>
      </c>
      <c r="J795" s="287">
        <f>Y795*H795%*I795/G795*1000</f>
        <v>689073</v>
      </c>
      <c r="K795" s="288">
        <v>4.2</v>
      </c>
      <c r="L795" s="289">
        <f>(Y795*K795%)/G795*1000</f>
        <v>276948.00000000006</v>
      </c>
      <c r="M795" s="288">
        <v>6</v>
      </c>
      <c r="N795" s="289">
        <f>(Y795*M795%)/G795*1000</f>
        <v>395640</v>
      </c>
      <c r="O795" s="290">
        <v>315</v>
      </c>
      <c r="P795" s="291" t="s">
        <v>1590</v>
      </c>
      <c r="Q795" s="288">
        <v>1.05</v>
      </c>
      <c r="R795" s="289">
        <f>O795*diezel*Q795</f>
        <v>6344386.965</v>
      </c>
      <c r="S795" s="292" t="s">
        <v>1640</v>
      </c>
      <c r="T795" s="296">
        <f>BLthodkmay!E45</f>
        <v>1693302.6923076925</v>
      </c>
      <c r="U795" s="250">
        <f>ROUND((J795+L795+N795+R795+T795),0)</f>
        <v>9399351</v>
      </c>
      <c r="V795" s="250">
        <v>9423173</v>
      </c>
      <c r="W795" s="250">
        <v>9208529</v>
      </c>
      <c r="X795" s="250">
        <v>8893727</v>
      </c>
      <c r="Y795" s="293">
        <v>1318800</v>
      </c>
      <c r="Z795" s="294"/>
      <c r="AA795" s="251"/>
      <c r="AB795" s="251"/>
    </row>
    <row r="796" spans="1:28" s="295" customFormat="1" ht="94.5">
      <c r="A796" s="284">
        <v>643</v>
      </c>
      <c r="B796" s="284" t="s">
        <v>691</v>
      </c>
      <c r="C796" s="284" t="s">
        <v>1641</v>
      </c>
      <c r="D796" s="284" t="s">
        <v>3629</v>
      </c>
      <c r="E796" s="285" t="s">
        <v>2106</v>
      </c>
      <c r="F796" s="286" t="s">
        <v>1642</v>
      </c>
      <c r="G796" s="284">
        <v>220</v>
      </c>
      <c r="H796" s="284">
        <v>11</v>
      </c>
      <c r="I796" s="284">
        <v>0.95</v>
      </c>
      <c r="J796" s="287">
        <f>Y796*H796%*I796/G796*1000</f>
        <v>4679462.5</v>
      </c>
      <c r="K796" s="288">
        <v>3.8</v>
      </c>
      <c r="L796" s="289">
        <f>(Y796*K796%)/G796*1000</f>
        <v>1701622.727272727</v>
      </c>
      <c r="M796" s="288">
        <v>6</v>
      </c>
      <c r="N796" s="289">
        <f>(Y796*M796%)/G796*1000</f>
        <v>2686772.7272727275</v>
      </c>
      <c r="O796" s="290">
        <v>714</v>
      </c>
      <c r="P796" s="291" t="s">
        <v>1590</v>
      </c>
      <c r="Q796" s="288">
        <v>1.05</v>
      </c>
      <c r="R796" s="289">
        <f>O796*diezel*Q796</f>
        <v>14380610.454000002</v>
      </c>
      <c r="S796" s="292" t="s">
        <v>1640</v>
      </c>
      <c r="T796" s="296">
        <f>BLthodkmay!E53</f>
        <v>1940093.076923077</v>
      </c>
      <c r="U796" s="250">
        <f>ROUND((J796+L796+N796+R796+T796),0)</f>
        <v>25388561</v>
      </c>
      <c r="V796" s="250">
        <v>25165595</v>
      </c>
      <c r="W796" s="250">
        <v>24950954</v>
      </c>
      <c r="X796" s="250">
        <v>24636141</v>
      </c>
      <c r="Y796" s="293">
        <v>9851500</v>
      </c>
      <c r="Z796" s="294"/>
      <c r="AA796" s="251"/>
      <c r="AB796" s="251"/>
    </row>
    <row r="797" spans="1:28" s="295" customFormat="1" ht="15.75">
      <c r="A797" s="297"/>
      <c r="B797" s="284"/>
      <c r="C797" s="298"/>
      <c r="D797" s="284"/>
      <c r="E797" s="272"/>
      <c r="F797" s="151" t="s">
        <v>1643</v>
      </c>
      <c r="G797" s="284"/>
      <c r="H797" s="284"/>
      <c r="I797" s="284"/>
      <c r="J797" s="299"/>
      <c r="K797" s="288"/>
      <c r="L797" s="289"/>
      <c r="M797" s="288"/>
      <c r="N797" s="300"/>
      <c r="O797" s="290"/>
      <c r="P797" s="291"/>
      <c r="Q797" s="288"/>
      <c r="R797" s="300"/>
      <c r="S797" s="292"/>
      <c r="T797" s="296"/>
      <c r="U797" s="250"/>
      <c r="V797" s="250"/>
      <c r="W797" s="250"/>
      <c r="X797" s="250"/>
      <c r="Y797" s="293"/>
      <c r="Z797" s="385"/>
      <c r="AA797" s="251"/>
      <c r="AB797" s="251"/>
    </row>
    <row r="798" spans="1:28" s="295" customFormat="1" ht="31.5">
      <c r="A798" s="284">
        <v>644</v>
      </c>
      <c r="B798" s="284">
        <v>0</v>
      </c>
      <c r="C798" s="284" t="s">
        <v>1644</v>
      </c>
      <c r="D798" s="284" t="s">
        <v>3630</v>
      </c>
      <c r="E798" s="285" t="s">
        <v>2107</v>
      </c>
      <c r="F798" s="286" t="s">
        <v>1645</v>
      </c>
      <c r="G798" s="284">
        <v>260</v>
      </c>
      <c r="H798" s="284">
        <v>14</v>
      </c>
      <c r="I798" s="284">
        <v>0.95</v>
      </c>
      <c r="J798" s="287">
        <f>Y798*H798%*I798/G798*1000</f>
        <v>326489.4230769231</v>
      </c>
      <c r="K798" s="288">
        <v>4.02</v>
      </c>
      <c r="L798" s="289">
        <f>(Y798*K798%)/G798*1000</f>
        <v>98683.26923076922</v>
      </c>
      <c r="M798" s="288">
        <v>5</v>
      </c>
      <c r="N798" s="289">
        <f>(Y798*M798%)/G798*1000</f>
        <v>122740.38461538461</v>
      </c>
      <c r="O798" s="290">
        <v>25.2</v>
      </c>
      <c r="P798" s="291" t="s">
        <v>1590</v>
      </c>
      <c r="Q798" s="288">
        <v>1.05</v>
      </c>
      <c r="R798" s="289">
        <f>O798*diezel*Q798</f>
        <v>507550.9572</v>
      </c>
      <c r="S798" s="292" t="s">
        <v>1646</v>
      </c>
      <c r="T798" s="296">
        <f>'Nhan cong'!M92+'Nhan cong'!M94</f>
        <v>318917.3076923077</v>
      </c>
      <c r="U798" s="250">
        <f>ROUND((J798+L798+N798+R798+T798),0)</f>
        <v>1374381</v>
      </c>
      <c r="V798" s="250">
        <v>1419941</v>
      </c>
      <c r="W798" s="250">
        <v>1374381</v>
      </c>
      <c r="X798" s="250">
        <v>1307561</v>
      </c>
      <c r="Y798" s="293">
        <v>638250</v>
      </c>
      <c r="Z798" s="294"/>
      <c r="AA798" s="251"/>
      <c r="AB798" s="251"/>
    </row>
    <row r="799" spans="1:28" s="295" customFormat="1" ht="31.5">
      <c r="A799" s="284">
        <v>645</v>
      </c>
      <c r="B799" s="284">
        <v>0</v>
      </c>
      <c r="C799" s="284" t="s">
        <v>1647</v>
      </c>
      <c r="D799" s="284" t="s">
        <v>3631</v>
      </c>
      <c r="E799" s="285" t="s">
        <v>2108</v>
      </c>
      <c r="F799" s="286" t="s">
        <v>1648</v>
      </c>
      <c r="G799" s="284">
        <v>260</v>
      </c>
      <c r="H799" s="284">
        <v>14</v>
      </c>
      <c r="I799" s="284">
        <v>0.95</v>
      </c>
      <c r="J799" s="287">
        <f>Y799*H799%*I799/G799*1000</f>
        <v>443836.3461538462</v>
      </c>
      <c r="K799" s="288">
        <v>3.81</v>
      </c>
      <c r="L799" s="289">
        <f>(Y799*K799%)/G799*1000</f>
        <v>127144.09615384617</v>
      </c>
      <c r="M799" s="288">
        <v>5</v>
      </c>
      <c r="N799" s="289">
        <f>(Y799*M799%)/G799*1000</f>
        <v>166855.76923076922</v>
      </c>
      <c r="O799" s="290">
        <v>29.4</v>
      </c>
      <c r="P799" s="291" t="s">
        <v>1590</v>
      </c>
      <c r="Q799" s="288">
        <v>1.05</v>
      </c>
      <c r="R799" s="289">
        <f>O799*diezel*Q799</f>
        <v>592142.7834</v>
      </c>
      <c r="S799" s="315" t="s">
        <v>1646</v>
      </c>
      <c r="T799" s="296">
        <f>'Nhan cong'!M92+'Nhan cong'!M94</f>
        <v>318917.3076923077</v>
      </c>
      <c r="U799" s="250">
        <f>ROUND((J799+L799+N799+R799+T799),0)</f>
        <v>1648896</v>
      </c>
      <c r="V799" s="250">
        <v>1694456</v>
      </c>
      <c r="W799" s="250">
        <v>1648896</v>
      </c>
      <c r="X799" s="250">
        <v>1582076</v>
      </c>
      <c r="Y799" s="293">
        <v>867650</v>
      </c>
      <c r="Z799" s="294"/>
      <c r="AA799" s="251"/>
      <c r="AB799" s="251"/>
    </row>
    <row r="800" spans="1:28" s="295" customFormat="1" ht="31.5">
      <c r="A800" s="284">
        <v>646</v>
      </c>
      <c r="B800" s="284">
        <v>0</v>
      </c>
      <c r="C800" s="284" t="s">
        <v>1649</v>
      </c>
      <c r="D800" s="284" t="s">
        <v>3632</v>
      </c>
      <c r="E800" s="285" t="s">
        <v>2109</v>
      </c>
      <c r="F800" s="286" t="s">
        <v>1650</v>
      </c>
      <c r="G800" s="284">
        <v>260</v>
      </c>
      <c r="H800" s="284">
        <v>14</v>
      </c>
      <c r="I800" s="284">
        <v>0.95</v>
      </c>
      <c r="J800" s="287">
        <f>Y800*H800%*I800/G800*1000</f>
        <v>559750.9615384616</v>
      </c>
      <c r="K800" s="288">
        <v>3.81</v>
      </c>
      <c r="L800" s="289">
        <f>(Y800*K800%)/G800*1000</f>
        <v>160349.71153846156</v>
      </c>
      <c r="M800" s="288">
        <v>5</v>
      </c>
      <c r="N800" s="289">
        <f>(Y800*M800%)/G800*1000</f>
        <v>210432.6923076923</v>
      </c>
      <c r="O800" s="290">
        <v>32.55</v>
      </c>
      <c r="P800" s="291" t="s">
        <v>1590</v>
      </c>
      <c r="Q800" s="288">
        <v>1.05</v>
      </c>
      <c r="R800" s="289">
        <f>O800*diezel*Q800</f>
        <v>655586.65305</v>
      </c>
      <c r="S800" s="315" t="s">
        <v>1646</v>
      </c>
      <c r="T800" s="296">
        <f>'Nhan cong'!M92+'Nhan cong'!M94</f>
        <v>318917.3076923077</v>
      </c>
      <c r="U800" s="250">
        <f>ROUND((J800+L800+N800+R800+T800),0)</f>
        <v>1905037</v>
      </c>
      <c r="V800" s="250">
        <v>1950597</v>
      </c>
      <c r="W800" s="250">
        <v>1905037</v>
      </c>
      <c r="X800" s="250">
        <v>1838217</v>
      </c>
      <c r="Y800" s="293">
        <v>1094250</v>
      </c>
      <c r="Z800" s="294"/>
      <c r="AA800" s="251"/>
      <c r="AB800" s="251"/>
    </row>
    <row r="801" spans="1:28" s="295" customFormat="1" ht="15.75">
      <c r="A801" s="297"/>
      <c r="B801" s="284"/>
      <c r="C801" s="298"/>
      <c r="D801" s="284"/>
      <c r="E801" s="272"/>
      <c r="F801" s="151" t="s">
        <v>1651</v>
      </c>
      <c r="G801" s="284"/>
      <c r="H801" s="284"/>
      <c r="I801" s="284"/>
      <c r="J801" s="299"/>
      <c r="K801" s="288"/>
      <c r="L801" s="289"/>
      <c r="M801" s="288"/>
      <c r="N801" s="300"/>
      <c r="O801" s="290"/>
      <c r="P801" s="291"/>
      <c r="Q801" s="288"/>
      <c r="R801" s="300"/>
      <c r="S801" s="292"/>
      <c r="T801" s="296"/>
      <c r="U801" s="250"/>
      <c r="V801" s="250"/>
      <c r="W801" s="250"/>
      <c r="X801" s="250"/>
      <c r="Y801" s="293"/>
      <c r="Z801" s="385"/>
      <c r="AA801" s="251"/>
      <c r="AB801" s="251"/>
    </row>
    <row r="802" spans="1:28" s="295" customFormat="1" ht="31.5" customHeight="1">
      <c r="A802" s="284">
        <v>647</v>
      </c>
      <c r="B802" s="284">
        <v>0</v>
      </c>
      <c r="C802" s="284" t="s">
        <v>1652</v>
      </c>
      <c r="D802" s="284" t="s">
        <v>3633</v>
      </c>
      <c r="E802" s="285" t="s">
        <v>2110</v>
      </c>
      <c r="F802" s="286" t="s">
        <v>1653</v>
      </c>
      <c r="G802" s="284">
        <v>260</v>
      </c>
      <c r="H802" s="284">
        <v>14</v>
      </c>
      <c r="I802" s="284">
        <v>0.95</v>
      </c>
      <c r="J802" s="287">
        <f>Y802*H802%*I802/G802*1000</f>
        <v>450025.9615384616</v>
      </c>
      <c r="K802" s="288">
        <v>3.88</v>
      </c>
      <c r="L802" s="289">
        <f>(Y802*K802%)/G802*1000</f>
        <v>131285.76923076922</v>
      </c>
      <c r="M802" s="288">
        <v>5</v>
      </c>
      <c r="N802" s="289">
        <f>(Y802*M802%)/G802*1000</f>
        <v>169182.6923076923</v>
      </c>
      <c r="O802" s="290">
        <v>25.2</v>
      </c>
      <c r="P802" s="291" t="s">
        <v>1590</v>
      </c>
      <c r="Q802" s="288">
        <v>1.05</v>
      </c>
      <c r="R802" s="289">
        <f>O802*diezel*Q802</f>
        <v>507550.9572</v>
      </c>
      <c r="S802" s="315" t="s">
        <v>1646</v>
      </c>
      <c r="T802" s="296">
        <f>'Nhan cong'!M92+'Nhan cong'!M94</f>
        <v>318917.3076923077</v>
      </c>
      <c r="U802" s="250">
        <f>ROUND((J802+L802+N802+R802+T802),0)-1</f>
        <v>1576962</v>
      </c>
      <c r="V802" s="250">
        <v>1622522</v>
      </c>
      <c r="W802" s="250">
        <v>1576962</v>
      </c>
      <c r="X802" s="250">
        <v>1510142</v>
      </c>
      <c r="Y802" s="293">
        <v>879750</v>
      </c>
      <c r="Z802" s="294"/>
      <c r="AA802" s="251"/>
      <c r="AB802" s="251"/>
    </row>
    <row r="803" spans="1:28" s="295" customFormat="1" ht="31.5">
      <c r="A803" s="284">
        <v>648</v>
      </c>
      <c r="B803" s="284">
        <v>0</v>
      </c>
      <c r="C803" s="284" t="s">
        <v>1654</v>
      </c>
      <c r="D803" s="284" t="s">
        <v>3630</v>
      </c>
      <c r="E803" s="285" t="s">
        <v>2107</v>
      </c>
      <c r="F803" s="286" t="s">
        <v>1645</v>
      </c>
      <c r="G803" s="284">
        <v>260</v>
      </c>
      <c r="H803" s="284">
        <v>14</v>
      </c>
      <c r="I803" s="284">
        <v>0.95</v>
      </c>
      <c r="J803" s="287">
        <f>Y803*H803%*I803/G803*1000</f>
        <v>611774.4230769231</v>
      </c>
      <c r="K803" s="288">
        <v>3.74</v>
      </c>
      <c r="L803" s="289">
        <f>(Y803*K803%)/G803*1000</f>
        <v>172032.80769230772</v>
      </c>
      <c r="M803" s="288">
        <v>5</v>
      </c>
      <c r="N803" s="289">
        <f>(Y803*M803%)/G803*1000</f>
        <v>229990.38461538462</v>
      </c>
      <c r="O803" s="290">
        <v>29.4</v>
      </c>
      <c r="P803" s="291" t="s">
        <v>1590</v>
      </c>
      <c r="Q803" s="288">
        <v>1.05</v>
      </c>
      <c r="R803" s="289">
        <f>O803*diezel*Q803</f>
        <v>592142.7834</v>
      </c>
      <c r="S803" s="315" t="s">
        <v>1646</v>
      </c>
      <c r="T803" s="296">
        <f>'Nhan cong'!M92+'Nhan cong'!M94</f>
        <v>318917.3076923077</v>
      </c>
      <c r="U803" s="250">
        <f>ROUND((J803+L803+N803+R803+T803),0)-1</f>
        <v>1924857</v>
      </c>
      <c r="V803" s="250">
        <v>1970417</v>
      </c>
      <c r="W803" s="250">
        <v>1924857</v>
      </c>
      <c r="X803" s="250">
        <v>1858037</v>
      </c>
      <c r="Y803" s="293">
        <v>1195950</v>
      </c>
      <c r="Z803" s="294"/>
      <c r="AA803" s="251"/>
      <c r="AB803" s="251"/>
    </row>
    <row r="804" spans="1:28" s="295" customFormat="1" ht="31.5">
      <c r="A804" s="284">
        <v>649</v>
      </c>
      <c r="B804" s="284">
        <v>0</v>
      </c>
      <c r="C804" s="284" t="s">
        <v>1655</v>
      </c>
      <c r="D804" s="284" t="s">
        <v>3631</v>
      </c>
      <c r="E804" s="285" t="s">
        <v>2108</v>
      </c>
      <c r="F804" s="286" t="s">
        <v>1648</v>
      </c>
      <c r="G804" s="284">
        <v>260</v>
      </c>
      <c r="H804" s="284">
        <v>14</v>
      </c>
      <c r="I804" s="284">
        <v>0.95</v>
      </c>
      <c r="J804" s="287">
        <f>Y804*H804%*I804/G804*1000</f>
        <v>741884.2307692309</v>
      </c>
      <c r="K804" s="288">
        <v>3.74</v>
      </c>
      <c r="L804" s="289">
        <f>(Y804*K804%)/G804*1000</f>
        <v>208620.07692307694</v>
      </c>
      <c r="M804" s="288">
        <v>5</v>
      </c>
      <c r="N804" s="289">
        <f>(Y804*M804%)/G804*1000</f>
        <v>278903.8461538461</v>
      </c>
      <c r="O804" s="290">
        <v>32.55</v>
      </c>
      <c r="P804" s="291" t="s">
        <v>1590</v>
      </c>
      <c r="Q804" s="288">
        <v>1.05</v>
      </c>
      <c r="R804" s="289">
        <f>O804*diezel*Q804</f>
        <v>655586.65305</v>
      </c>
      <c r="S804" s="315" t="s">
        <v>1646</v>
      </c>
      <c r="T804" s="296">
        <f>'Nhan cong'!M92+'Nhan cong'!M94</f>
        <v>318917.3076923077</v>
      </c>
      <c r="U804" s="250">
        <f>ROUND((J804+L804+N804+R804+T804),0)-1</f>
        <v>2203911</v>
      </c>
      <c r="V804" s="250">
        <v>2249471</v>
      </c>
      <c r="W804" s="250">
        <v>2203911</v>
      </c>
      <c r="X804" s="250">
        <v>2137091</v>
      </c>
      <c r="Y804" s="293">
        <v>1450300</v>
      </c>
      <c r="Z804" s="294"/>
      <c r="AA804" s="251"/>
      <c r="AB804" s="251"/>
    </row>
    <row r="805" spans="1:28" s="295" customFormat="1" ht="15.75">
      <c r="A805" s="297"/>
      <c r="B805" s="284"/>
      <c r="C805" s="298"/>
      <c r="D805" s="284"/>
      <c r="E805" s="272"/>
      <c r="F805" s="151" t="s">
        <v>1656</v>
      </c>
      <c r="G805" s="284"/>
      <c r="H805" s="284"/>
      <c r="I805" s="284"/>
      <c r="J805" s="299"/>
      <c r="K805" s="288"/>
      <c r="L805" s="289"/>
      <c r="M805" s="288"/>
      <c r="N805" s="300"/>
      <c r="O805" s="290"/>
      <c r="P805" s="291"/>
      <c r="Q805" s="288"/>
      <c r="R805" s="300"/>
      <c r="S805" s="292"/>
      <c r="T805" s="296"/>
      <c r="U805" s="250"/>
      <c r="V805" s="250"/>
      <c r="W805" s="250"/>
      <c r="X805" s="250"/>
      <c r="Y805" s="293"/>
      <c r="Z805" s="385"/>
      <c r="AA805" s="251"/>
      <c r="AB805" s="251"/>
    </row>
    <row r="806" spans="1:28" s="295" customFormat="1" ht="15.75">
      <c r="A806" s="284">
        <v>650</v>
      </c>
      <c r="B806" s="284">
        <v>0</v>
      </c>
      <c r="C806" s="284" t="s">
        <v>1657</v>
      </c>
      <c r="D806" s="284" t="s">
        <v>1119</v>
      </c>
      <c r="E806" s="285" t="s">
        <v>2111</v>
      </c>
      <c r="F806" s="286" t="s">
        <v>1658</v>
      </c>
      <c r="G806" s="284">
        <v>160</v>
      </c>
      <c r="H806" s="284">
        <v>12</v>
      </c>
      <c r="I806" s="284">
        <v>0.95</v>
      </c>
      <c r="J806" s="287">
        <f>Y806*H806%*I806/G806*1000</f>
        <v>75240</v>
      </c>
      <c r="K806" s="288">
        <v>6.24</v>
      </c>
      <c r="L806" s="289">
        <f>(Y806*K806%)/G806*1000</f>
        <v>41184.00000000001</v>
      </c>
      <c r="M806" s="288">
        <v>6</v>
      </c>
      <c r="N806" s="289">
        <f>(Y806*M806%)/G806*1000</f>
        <v>39600</v>
      </c>
      <c r="O806" s="290"/>
      <c r="P806" s="291"/>
      <c r="Q806" s="288"/>
      <c r="R806" s="300"/>
      <c r="S806" s="292"/>
      <c r="T806" s="296"/>
      <c r="U806" s="250">
        <f>ROUND((J806+L806+N806+R806+T806),0)</f>
        <v>156024</v>
      </c>
      <c r="V806" s="250">
        <v>156024</v>
      </c>
      <c r="W806" s="250">
        <v>156024</v>
      </c>
      <c r="X806" s="250">
        <v>156024</v>
      </c>
      <c r="Y806" s="293">
        <v>105600</v>
      </c>
      <c r="Z806" s="294"/>
      <c r="AA806" s="251"/>
      <c r="AB806" s="251"/>
    </row>
    <row r="807" spans="1:28" s="295" customFormat="1" ht="31.5">
      <c r="A807" s="284">
        <v>651</v>
      </c>
      <c r="B807" s="284">
        <v>0</v>
      </c>
      <c r="C807" s="284" t="s">
        <v>1659</v>
      </c>
      <c r="D807" s="284" t="s">
        <v>1114</v>
      </c>
      <c r="E807" s="285" t="s">
        <v>42</v>
      </c>
      <c r="F807" s="286" t="s">
        <v>1660</v>
      </c>
      <c r="G807" s="284">
        <v>160</v>
      </c>
      <c r="H807" s="284">
        <v>12</v>
      </c>
      <c r="I807" s="284">
        <v>0.95</v>
      </c>
      <c r="J807" s="287">
        <f>Y807*H807%*I807/G807*1000</f>
        <v>108585</v>
      </c>
      <c r="K807" s="288">
        <v>6.24</v>
      </c>
      <c r="L807" s="289">
        <f>(Y807*K807%)/G807*1000</f>
        <v>59436</v>
      </c>
      <c r="M807" s="288">
        <v>6</v>
      </c>
      <c r="N807" s="289">
        <f>(Y807*M807%)/G807*1000</f>
        <v>57150</v>
      </c>
      <c r="O807" s="290"/>
      <c r="P807" s="291"/>
      <c r="Q807" s="288"/>
      <c r="R807" s="300"/>
      <c r="S807" s="292"/>
      <c r="T807" s="296"/>
      <c r="U807" s="250">
        <f>ROUND((J807+L807+N807+R807+T807),0)</f>
        <v>225171</v>
      </c>
      <c r="V807" s="250">
        <v>225171</v>
      </c>
      <c r="W807" s="250">
        <v>225171</v>
      </c>
      <c r="X807" s="250">
        <v>225171</v>
      </c>
      <c r="Y807" s="293">
        <v>152400</v>
      </c>
      <c r="Z807" s="294"/>
      <c r="AA807" s="251"/>
      <c r="AB807" s="251"/>
    </row>
    <row r="808" spans="1:28" s="295" customFormat="1" ht="15.75">
      <c r="A808" s="284">
        <v>652</v>
      </c>
      <c r="B808" s="284">
        <v>0</v>
      </c>
      <c r="C808" s="284" t="s">
        <v>1661</v>
      </c>
      <c r="D808" s="284" t="s">
        <v>1116</v>
      </c>
      <c r="E808" s="285" t="s">
        <v>43</v>
      </c>
      <c r="F808" s="286" t="s">
        <v>1662</v>
      </c>
      <c r="G808" s="284">
        <v>160</v>
      </c>
      <c r="H808" s="284">
        <v>12</v>
      </c>
      <c r="I808" s="284">
        <v>0.95</v>
      </c>
      <c r="J808" s="287">
        <f>Y808*H808%*I808/G808*1000</f>
        <v>150266.24999999997</v>
      </c>
      <c r="K808" s="288">
        <v>6.24</v>
      </c>
      <c r="L808" s="289">
        <f>(Y808*K808%)/G808*1000</f>
        <v>82251</v>
      </c>
      <c r="M808" s="288">
        <v>6</v>
      </c>
      <c r="N808" s="289">
        <f>(Y808*M808%)/G808*1000</f>
        <v>79087.5</v>
      </c>
      <c r="O808" s="290"/>
      <c r="P808" s="291"/>
      <c r="Q808" s="288"/>
      <c r="R808" s="300"/>
      <c r="S808" s="292"/>
      <c r="T808" s="296"/>
      <c r="U808" s="250">
        <f>ROUND((J808+L808+N808+R808+T808),0)</f>
        <v>311605</v>
      </c>
      <c r="V808" s="250">
        <v>311605</v>
      </c>
      <c r="W808" s="250">
        <v>311605</v>
      </c>
      <c r="X808" s="250">
        <v>311605</v>
      </c>
      <c r="Y808" s="293">
        <v>210900</v>
      </c>
      <c r="Z808" s="294"/>
      <c r="AA808" s="251"/>
      <c r="AB808" s="251"/>
    </row>
    <row r="809" spans="1:28" s="295" customFormat="1" ht="15.75">
      <c r="A809" s="297"/>
      <c r="B809" s="284"/>
      <c r="C809" s="298"/>
      <c r="D809" s="284"/>
      <c r="E809" s="272"/>
      <c r="F809" s="151" t="s">
        <v>1663</v>
      </c>
      <c r="G809" s="284"/>
      <c r="H809" s="284"/>
      <c r="I809" s="284"/>
      <c r="J809" s="299"/>
      <c r="K809" s="288"/>
      <c r="L809" s="289"/>
      <c r="M809" s="288"/>
      <c r="N809" s="300"/>
      <c r="O809" s="290"/>
      <c r="P809" s="291"/>
      <c r="Q809" s="288"/>
      <c r="R809" s="300"/>
      <c r="S809" s="292"/>
      <c r="T809" s="296"/>
      <c r="U809" s="250"/>
      <c r="V809" s="250"/>
      <c r="W809" s="250"/>
      <c r="X809" s="250"/>
      <c r="Y809" s="293"/>
      <c r="Z809" s="385"/>
      <c r="AA809" s="251"/>
      <c r="AB809" s="251"/>
    </row>
    <row r="810" spans="1:28" s="295" customFormat="1" ht="182.25" customHeight="1">
      <c r="A810" s="284">
        <v>653</v>
      </c>
      <c r="B810" s="284" t="s">
        <v>683</v>
      </c>
      <c r="C810" s="284" t="s">
        <v>1664</v>
      </c>
      <c r="D810" s="284" t="s">
        <v>3634</v>
      </c>
      <c r="E810" s="285" t="s">
        <v>2112</v>
      </c>
      <c r="F810" s="286" t="s">
        <v>1665</v>
      </c>
      <c r="G810" s="284">
        <v>260</v>
      </c>
      <c r="H810" s="284">
        <v>7.5</v>
      </c>
      <c r="I810" s="284">
        <v>0.95</v>
      </c>
      <c r="J810" s="287">
        <f>Y810*H810%*I810/G810*1000</f>
        <v>3079452.4038461535</v>
      </c>
      <c r="K810" s="288">
        <v>5.12</v>
      </c>
      <c r="L810" s="289">
        <f>(Y810*K810%)/G810*1000</f>
        <v>2212883.6923076925</v>
      </c>
      <c r="M810" s="288">
        <v>6</v>
      </c>
      <c r="N810" s="289">
        <f>(Y810*M810%)/G810*1000</f>
        <v>2593223.076923077</v>
      </c>
      <c r="O810" s="290">
        <v>519.75</v>
      </c>
      <c r="P810" s="291" t="s">
        <v>1590</v>
      </c>
      <c r="Q810" s="288">
        <v>1.05</v>
      </c>
      <c r="R810" s="289">
        <f>O810*diezel*Q810</f>
        <v>10468238.492250001</v>
      </c>
      <c r="S810" s="292" t="s">
        <v>1666</v>
      </c>
      <c r="T810" s="296">
        <f>BLthodkmay!E60</f>
        <v>197876.53846153847</v>
      </c>
      <c r="U810" s="250">
        <f>ROUND((J810+L810+N810+R810+T810),0)</f>
        <v>18551674</v>
      </c>
      <c r="V810" s="250">
        <v>22056435</v>
      </c>
      <c r="W810" s="250">
        <v>21593600</v>
      </c>
      <c r="X810" s="250">
        <v>20914789</v>
      </c>
      <c r="Y810" s="293">
        <v>11237300</v>
      </c>
      <c r="Z810" s="294"/>
      <c r="AA810" s="251"/>
      <c r="AB810" s="251"/>
    </row>
    <row r="811" spans="1:28" s="295" customFormat="1" ht="20.25" customHeight="1">
      <c r="A811" s="297"/>
      <c r="B811" s="284"/>
      <c r="C811" s="298"/>
      <c r="D811" s="284"/>
      <c r="E811" s="272"/>
      <c r="F811" s="151" t="s">
        <v>1667</v>
      </c>
      <c r="G811" s="284"/>
      <c r="H811" s="284"/>
      <c r="I811" s="284"/>
      <c r="J811" s="299"/>
      <c r="K811" s="288"/>
      <c r="L811" s="289"/>
      <c r="M811" s="288"/>
      <c r="N811" s="300"/>
      <c r="O811" s="290"/>
      <c r="P811" s="291"/>
      <c r="Q811" s="288"/>
      <c r="R811" s="300"/>
      <c r="S811" s="292"/>
      <c r="T811" s="296"/>
      <c r="U811" s="250"/>
      <c r="V811" s="250"/>
      <c r="W811" s="250"/>
      <c r="X811" s="250"/>
      <c r="Y811" s="293"/>
      <c r="Z811" s="385"/>
      <c r="AA811" s="251"/>
      <c r="AB811" s="251"/>
    </row>
    <row r="812" spans="1:28" s="295" customFormat="1" ht="173.25" customHeight="1">
      <c r="A812" s="284">
        <v>654</v>
      </c>
      <c r="B812" s="284" t="s">
        <v>682</v>
      </c>
      <c r="C812" s="284" t="s">
        <v>1668</v>
      </c>
      <c r="D812" s="284" t="s">
        <v>3635</v>
      </c>
      <c r="E812" s="285" t="s">
        <v>2113</v>
      </c>
      <c r="F812" s="286" t="s">
        <v>1669</v>
      </c>
      <c r="G812" s="284">
        <v>260</v>
      </c>
      <c r="H812" s="284">
        <v>7.5</v>
      </c>
      <c r="I812" s="284">
        <v>0.95</v>
      </c>
      <c r="J812" s="287">
        <f>Y812*H812%*I812/G812*1000</f>
        <v>9495432.692307692</v>
      </c>
      <c r="K812" s="288">
        <v>4.5</v>
      </c>
      <c r="L812" s="289">
        <f>(Y812*K812%)/G812*1000</f>
        <v>5997115.384615385</v>
      </c>
      <c r="M812" s="288">
        <v>6</v>
      </c>
      <c r="N812" s="289">
        <f>(Y812*M812%)/G812*1000</f>
        <v>7996153.846153846</v>
      </c>
      <c r="O812" s="290">
        <v>1751.4</v>
      </c>
      <c r="P812" s="291" t="s">
        <v>1590</v>
      </c>
      <c r="Q812" s="288">
        <v>1.05</v>
      </c>
      <c r="R812" s="289">
        <f>O812*diezel*Q812</f>
        <v>35274791.525400005</v>
      </c>
      <c r="S812" s="292" t="s">
        <v>1670</v>
      </c>
      <c r="T812" s="296">
        <f>BLthodkmay!E72</f>
        <v>152080</v>
      </c>
      <c r="U812" s="250">
        <f>ROUND((J812+L812+N812+R812+T812),0)</f>
        <v>58915573</v>
      </c>
      <c r="V812" s="250">
        <v>62466131</v>
      </c>
      <c r="W812" s="250">
        <v>62003301</v>
      </c>
      <c r="X812" s="250">
        <v>61324484</v>
      </c>
      <c r="Y812" s="293">
        <v>34650000</v>
      </c>
      <c r="Z812" s="294"/>
      <c r="AA812" s="251"/>
      <c r="AB812" s="251"/>
    </row>
    <row r="813" spans="1:28" s="295" customFormat="1" ht="15.75">
      <c r="A813" s="297"/>
      <c r="B813" s="284"/>
      <c r="C813" s="298"/>
      <c r="D813" s="284"/>
      <c r="E813" s="272"/>
      <c r="F813" s="151" t="s">
        <v>1671</v>
      </c>
      <c r="G813" s="284"/>
      <c r="H813" s="284"/>
      <c r="I813" s="284"/>
      <c r="J813" s="299"/>
      <c r="K813" s="288"/>
      <c r="L813" s="289"/>
      <c r="M813" s="288"/>
      <c r="N813" s="300"/>
      <c r="O813" s="290"/>
      <c r="P813" s="291"/>
      <c r="Q813" s="288"/>
      <c r="R813" s="300"/>
      <c r="S813" s="292"/>
      <c r="T813" s="296"/>
      <c r="U813" s="250"/>
      <c r="V813" s="250"/>
      <c r="W813" s="250"/>
      <c r="X813" s="250"/>
      <c r="Y813" s="293"/>
      <c r="Z813" s="385"/>
      <c r="AA813" s="251"/>
      <c r="AB813" s="251"/>
    </row>
    <row r="814" spans="1:28" s="295" customFormat="1" ht="75.75" customHeight="1">
      <c r="A814" s="284">
        <v>655</v>
      </c>
      <c r="B814" s="284">
        <v>0</v>
      </c>
      <c r="C814" s="284" t="s">
        <v>1672</v>
      </c>
      <c r="D814" s="284" t="s">
        <v>3636</v>
      </c>
      <c r="E814" s="285" t="s">
        <v>2114</v>
      </c>
      <c r="F814" s="286" t="s">
        <v>2413</v>
      </c>
      <c r="G814" s="284">
        <v>260</v>
      </c>
      <c r="H814" s="284">
        <v>10</v>
      </c>
      <c r="I814" s="284">
        <v>0.95</v>
      </c>
      <c r="J814" s="287">
        <f aca="true" t="shared" si="177" ref="J814:J819">Y814*H814%*I814/G814*1000</f>
        <v>525898.0769230769</v>
      </c>
      <c r="K814" s="288">
        <v>6</v>
      </c>
      <c r="L814" s="289">
        <f aca="true" t="shared" si="178" ref="L814:L819">(Y814*K814%)/G814*1000</f>
        <v>332146.1538461538</v>
      </c>
      <c r="M814" s="288">
        <v>6</v>
      </c>
      <c r="N814" s="289">
        <f aca="true" t="shared" si="179" ref="N814:N819">(Y814*M814%)/G814*1000</f>
        <v>332146.1538461538</v>
      </c>
      <c r="O814" s="290">
        <v>157.5</v>
      </c>
      <c r="P814" s="291" t="s">
        <v>1590</v>
      </c>
      <c r="Q814" s="288">
        <v>1.05</v>
      </c>
      <c r="R814" s="289">
        <f aca="true" t="shared" si="180" ref="R814:R819">O814*diezel*Q814</f>
        <v>3172193.4825</v>
      </c>
      <c r="S814" s="292" t="s">
        <v>1673</v>
      </c>
      <c r="T814" s="296">
        <f>BLthodkmay!E85</f>
        <v>1309762</v>
      </c>
      <c r="U814" s="250">
        <f aca="true" t="shared" si="181" ref="U814:U819">ROUND((J814+L814+N814+R814+T814),0)</f>
        <v>5672146</v>
      </c>
      <c r="V814" s="250">
        <v>5664512</v>
      </c>
      <c r="W814" s="250">
        <v>5501746</v>
      </c>
      <c r="X814" s="250">
        <v>5263021</v>
      </c>
      <c r="Y814" s="293">
        <v>1439300</v>
      </c>
      <c r="Z814" s="294"/>
      <c r="AA814" s="251"/>
      <c r="AB814" s="251"/>
    </row>
    <row r="815" spans="1:28" s="295" customFormat="1" ht="146.25" customHeight="1">
      <c r="A815" s="284">
        <v>656</v>
      </c>
      <c r="B815" s="284">
        <v>0</v>
      </c>
      <c r="C815" s="284" t="s">
        <v>1674</v>
      </c>
      <c r="D815" s="284" t="s">
        <v>3637</v>
      </c>
      <c r="E815" s="285" t="s">
        <v>2115</v>
      </c>
      <c r="F815" s="286" t="s">
        <v>1675</v>
      </c>
      <c r="G815" s="284">
        <v>260</v>
      </c>
      <c r="H815" s="284">
        <v>10</v>
      </c>
      <c r="I815" s="284">
        <v>0.95</v>
      </c>
      <c r="J815" s="287">
        <f t="shared" si="177"/>
        <v>747503.8461538461</v>
      </c>
      <c r="K815" s="288">
        <v>6</v>
      </c>
      <c r="L815" s="289">
        <f t="shared" si="178"/>
        <v>472107.6923076923</v>
      </c>
      <c r="M815" s="288">
        <v>6</v>
      </c>
      <c r="N815" s="289">
        <f t="shared" si="179"/>
        <v>472107.6923076923</v>
      </c>
      <c r="O815" s="290">
        <v>304.5</v>
      </c>
      <c r="P815" s="291" t="s">
        <v>1590</v>
      </c>
      <c r="Q815" s="288">
        <v>1.05</v>
      </c>
      <c r="R815" s="289">
        <f t="shared" si="180"/>
        <v>6132907.399499999</v>
      </c>
      <c r="S815" s="292" t="s">
        <v>1676</v>
      </c>
      <c r="T815" s="296">
        <f>BLthodkmay!E93</f>
        <v>1660293</v>
      </c>
      <c r="U815" s="250">
        <f t="shared" si="181"/>
        <v>9484920</v>
      </c>
      <c r="V815" s="250">
        <v>9126753</v>
      </c>
      <c r="W815" s="250">
        <v>8963990</v>
      </c>
      <c r="X815" s="250">
        <v>8725265</v>
      </c>
      <c r="Y815" s="293">
        <v>2045800</v>
      </c>
      <c r="Z815" s="294"/>
      <c r="AA815" s="251"/>
      <c r="AB815" s="251"/>
    </row>
    <row r="816" spans="1:28" s="295" customFormat="1" ht="27" customHeight="1">
      <c r="A816" s="284">
        <v>657</v>
      </c>
      <c r="B816" s="284" t="s">
        <v>687</v>
      </c>
      <c r="C816" s="284" t="s">
        <v>1677</v>
      </c>
      <c r="D816" s="284" t="s">
        <v>3638</v>
      </c>
      <c r="E816" s="285" t="s">
        <v>2116</v>
      </c>
      <c r="F816" s="286" t="s">
        <v>1678</v>
      </c>
      <c r="G816" s="284">
        <v>260</v>
      </c>
      <c r="H816" s="284">
        <v>10</v>
      </c>
      <c r="I816" s="284">
        <v>0.95</v>
      </c>
      <c r="J816" s="287">
        <f t="shared" si="177"/>
        <v>2808163.4615384615</v>
      </c>
      <c r="K816" s="288">
        <v>4.13</v>
      </c>
      <c r="L816" s="289">
        <f t="shared" si="178"/>
        <v>1220812.1153846153</v>
      </c>
      <c r="M816" s="288">
        <v>6</v>
      </c>
      <c r="N816" s="289">
        <f t="shared" si="179"/>
        <v>1773576.923076923</v>
      </c>
      <c r="O816" s="290">
        <v>573.3</v>
      </c>
      <c r="P816" s="291" t="s">
        <v>1590</v>
      </c>
      <c r="Q816" s="288">
        <v>1.05</v>
      </c>
      <c r="R816" s="289">
        <f t="shared" si="180"/>
        <v>11546784.2763</v>
      </c>
      <c r="S816" s="292" t="s">
        <v>1679</v>
      </c>
      <c r="T816" s="296">
        <f>BLthodkmay!E103</f>
        <v>2371464</v>
      </c>
      <c r="U816" s="250">
        <f t="shared" si="181"/>
        <v>19720801</v>
      </c>
      <c r="V816" s="250">
        <v>20144481</v>
      </c>
      <c r="W816" s="250">
        <v>19795093</v>
      </c>
      <c r="X816" s="250">
        <v>19282649</v>
      </c>
      <c r="Y816" s="293">
        <v>7685500</v>
      </c>
      <c r="Z816" s="294"/>
      <c r="AA816" s="251"/>
      <c r="AB816" s="251"/>
    </row>
    <row r="817" spans="1:28" s="295" customFormat="1" ht="35.25" customHeight="1">
      <c r="A817" s="284">
        <v>658</v>
      </c>
      <c r="B817" s="284">
        <v>0</v>
      </c>
      <c r="C817" s="284" t="s">
        <v>1680</v>
      </c>
      <c r="D817" s="284" t="s">
        <v>3639</v>
      </c>
      <c r="E817" s="285" t="s">
        <v>2117</v>
      </c>
      <c r="F817" s="286" t="s">
        <v>1681</v>
      </c>
      <c r="G817" s="284">
        <v>260</v>
      </c>
      <c r="H817" s="284">
        <v>7.5</v>
      </c>
      <c r="I817" s="284">
        <v>0.95</v>
      </c>
      <c r="J817" s="287">
        <f t="shared" si="177"/>
        <v>2717940.8653846155</v>
      </c>
      <c r="K817" s="288">
        <v>4.1</v>
      </c>
      <c r="L817" s="289">
        <f t="shared" si="178"/>
        <v>1564008.076923077</v>
      </c>
      <c r="M817" s="288">
        <v>6</v>
      </c>
      <c r="N817" s="289">
        <f t="shared" si="179"/>
        <v>2288792.3076923075</v>
      </c>
      <c r="O817" s="290">
        <v>756</v>
      </c>
      <c r="P817" s="291" t="s">
        <v>1590</v>
      </c>
      <c r="Q817" s="288">
        <v>1.05</v>
      </c>
      <c r="R817" s="289">
        <f t="shared" si="180"/>
        <v>15226528.716</v>
      </c>
      <c r="S817" s="292" t="s">
        <v>1682</v>
      </c>
      <c r="T817" s="296">
        <f>BLthodkmay!E114</f>
        <v>2371464</v>
      </c>
      <c r="U817" s="250">
        <f t="shared" si="181"/>
        <v>24168734</v>
      </c>
      <c r="V817" s="250">
        <v>24592420</v>
      </c>
      <c r="W817" s="250">
        <v>24243026</v>
      </c>
      <c r="X817" s="250">
        <v>23730583</v>
      </c>
      <c r="Y817" s="293">
        <v>9918100</v>
      </c>
      <c r="Z817" s="294"/>
      <c r="AA817" s="251"/>
      <c r="AB817" s="251"/>
    </row>
    <row r="818" spans="1:28" s="295" customFormat="1" ht="24.75" customHeight="1">
      <c r="A818" s="284">
        <v>659</v>
      </c>
      <c r="B818" s="284" t="s">
        <v>686</v>
      </c>
      <c r="C818" s="284" t="s">
        <v>1683</v>
      </c>
      <c r="D818" s="284" t="s">
        <v>3640</v>
      </c>
      <c r="E818" s="285" t="s">
        <v>2118</v>
      </c>
      <c r="F818" s="286" t="s">
        <v>1684</v>
      </c>
      <c r="G818" s="284">
        <v>260</v>
      </c>
      <c r="H818" s="284">
        <v>7.5</v>
      </c>
      <c r="I818" s="284">
        <v>0.95</v>
      </c>
      <c r="J818" s="287">
        <f t="shared" si="177"/>
        <v>5512420.673076923</v>
      </c>
      <c r="K818" s="288">
        <v>3.75</v>
      </c>
      <c r="L818" s="289">
        <f t="shared" si="178"/>
        <v>2901274.0384615385</v>
      </c>
      <c r="M818" s="288">
        <v>6</v>
      </c>
      <c r="N818" s="289">
        <f t="shared" si="179"/>
        <v>4642038.461538462</v>
      </c>
      <c r="O818" s="290">
        <v>1008</v>
      </c>
      <c r="P818" s="291" t="s">
        <v>1590</v>
      </c>
      <c r="Q818" s="288">
        <v>1.05</v>
      </c>
      <c r="R818" s="289">
        <f t="shared" si="180"/>
        <v>20302038.288</v>
      </c>
      <c r="S818" s="292" t="s">
        <v>1685</v>
      </c>
      <c r="T818" s="296">
        <f>BLthodkmay!E125</f>
        <v>2903524</v>
      </c>
      <c r="U818" s="250">
        <f t="shared" si="181"/>
        <v>36261295</v>
      </c>
      <c r="V818" s="250">
        <v>36801686</v>
      </c>
      <c r="W818" s="250">
        <v>36371195</v>
      </c>
      <c r="X818" s="250">
        <v>35739810</v>
      </c>
      <c r="Y818" s="293">
        <v>20115500</v>
      </c>
      <c r="Z818" s="294"/>
      <c r="AA818" s="251"/>
      <c r="AB818" s="251"/>
    </row>
    <row r="819" spans="1:28" s="295" customFormat="1" ht="21" customHeight="1">
      <c r="A819" s="284">
        <v>660</v>
      </c>
      <c r="B819" s="284" t="s">
        <v>690</v>
      </c>
      <c r="C819" s="284" t="s">
        <v>1686</v>
      </c>
      <c r="D819" s="284" t="s">
        <v>3641</v>
      </c>
      <c r="E819" s="285" t="s">
        <v>2119</v>
      </c>
      <c r="F819" s="286" t="s">
        <v>1687</v>
      </c>
      <c r="G819" s="284">
        <v>260</v>
      </c>
      <c r="H819" s="284">
        <v>7.5</v>
      </c>
      <c r="I819" s="284">
        <v>0.95</v>
      </c>
      <c r="J819" s="287">
        <f t="shared" si="177"/>
        <v>27945373.557692308</v>
      </c>
      <c r="K819" s="288">
        <v>2.4</v>
      </c>
      <c r="L819" s="289">
        <f t="shared" si="178"/>
        <v>9413178.46153846</v>
      </c>
      <c r="M819" s="288">
        <v>6</v>
      </c>
      <c r="N819" s="289">
        <f t="shared" si="179"/>
        <v>23532946.153846156</v>
      </c>
      <c r="O819" s="290">
        <v>3210.9</v>
      </c>
      <c r="P819" s="291" t="s">
        <v>1590</v>
      </c>
      <c r="Q819" s="288">
        <v>1.05</v>
      </c>
      <c r="R819" s="289">
        <f t="shared" si="180"/>
        <v>64670451.1299</v>
      </c>
      <c r="S819" s="292" t="s">
        <v>1688</v>
      </c>
      <c r="T819" s="296">
        <f>BLthodkmay!E137</f>
        <v>3667552</v>
      </c>
      <c r="U819" s="250">
        <f t="shared" si="181"/>
        <v>129229501</v>
      </c>
      <c r="V819" s="250">
        <v>129909292</v>
      </c>
      <c r="W819" s="250">
        <v>129365874</v>
      </c>
      <c r="X819" s="250">
        <v>128568860</v>
      </c>
      <c r="Y819" s="293">
        <v>101976100</v>
      </c>
      <c r="Z819" s="294"/>
      <c r="AA819" s="251"/>
      <c r="AB819" s="251"/>
    </row>
    <row r="820" spans="1:28" s="295" customFormat="1" ht="15.75">
      <c r="A820" s="297"/>
      <c r="B820" s="284"/>
      <c r="C820" s="298"/>
      <c r="D820" s="284"/>
      <c r="E820" s="272"/>
      <c r="F820" s="151" t="s">
        <v>1689</v>
      </c>
      <c r="G820" s="284"/>
      <c r="H820" s="284"/>
      <c r="I820" s="284"/>
      <c r="J820" s="299"/>
      <c r="K820" s="288"/>
      <c r="L820" s="289"/>
      <c r="M820" s="288"/>
      <c r="N820" s="300"/>
      <c r="O820" s="290"/>
      <c r="P820" s="291"/>
      <c r="Q820" s="288"/>
      <c r="R820" s="300"/>
      <c r="S820" s="292"/>
      <c r="T820" s="296"/>
      <c r="U820" s="250"/>
      <c r="V820" s="250"/>
      <c r="W820" s="250"/>
      <c r="X820" s="250"/>
      <c r="Y820" s="293"/>
      <c r="Z820" s="385"/>
      <c r="AA820" s="251"/>
      <c r="AB820" s="251"/>
    </row>
    <row r="821" spans="1:28" s="295" customFormat="1" ht="27.75" customHeight="1">
      <c r="A821" s="284">
        <v>661</v>
      </c>
      <c r="B821" s="284" t="s">
        <v>689</v>
      </c>
      <c r="C821" s="284" t="s">
        <v>1690</v>
      </c>
      <c r="D821" s="284" t="s">
        <v>3642</v>
      </c>
      <c r="E821" s="285" t="s">
        <v>2120</v>
      </c>
      <c r="F821" s="286" t="s">
        <v>1691</v>
      </c>
      <c r="G821" s="284">
        <v>260</v>
      </c>
      <c r="H821" s="284">
        <v>7.5</v>
      </c>
      <c r="I821" s="284">
        <v>0.95</v>
      </c>
      <c r="J821" s="287">
        <f>Y821*H821%*I821/G821*1000</f>
        <v>3120859.6153846155</v>
      </c>
      <c r="K821" s="288">
        <v>6.5</v>
      </c>
      <c r="L821" s="289">
        <f>(Y821*K821%)/G821*1000</f>
        <v>2847100</v>
      </c>
      <c r="M821" s="288">
        <v>6</v>
      </c>
      <c r="N821" s="289">
        <f>(Y821*M821%)/G821*1000</f>
        <v>2628092.3076923075</v>
      </c>
      <c r="O821" s="290">
        <v>1445.6</v>
      </c>
      <c r="P821" s="291" t="s">
        <v>1590</v>
      </c>
      <c r="Q821" s="288">
        <v>1.05</v>
      </c>
      <c r="R821" s="289">
        <f>O821*diezel*Q821</f>
        <v>29115700.9416</v>
      </c>
      <c r="S821" s="292" t="s">
        <v>1692</v>
      </c>
      <c r="T821" s="296">
        <f>BLthodkmay!E149</f>
        <v>2861422</v>
      </c>
      <c r="U821" s="250">
        <f>ROUND((J821+L821+N821+R821+T821),0)</f>
        <v>40573175</v>
      </c>
      <c r="V821" s="250">
        <v>40925537</v>
      </c>
      <c r="W821" s="250">
        <v>40523814</v>
      </c>
      <c r="X821" s="250">
        <v>39934620</v>
      </c>
      <c r="Y821" s="293">
        <v>11388400</v>
      </c>
      <c r="Z821" s="294"/>
      <c r="AA821" s="251"/>
      <c r="AB821" s="251"/>
    </row>
    <row r="822" spans="1:28" s="295" customFormat="1" ht="44.25" customHeight="1">
      <c r="A822" s="284">
        <v>662</v>
      </c>
      <c r="B822" s="284" t="s">
        <v>688</v>
      </c>
      <c r="C822" s="284" t="s">
        <v>1693</v>
      </c>
      <c r="D822" s="284" t="s">
        <v>3643</v>
      </c>
      <c r="E822" s="285" t="s">
        <v>2121</v>
      </c>
      <c r="F822" s="286" t="s">
        <v>1694</v>
      </c>
      <c r="G822" s="284">
        <v>260</v>
      </c>
      <c r="H822" s="284">
        <v>7.5</v>
      </c>
      <c r="I822" s="284">
        <v>0.95</v>
      </c>
      <c r="J822" s="287">
        <f>Y822*H822%*I822/G822*1000</f>
        <v>18042692.307692308</v>
      </c>
      <c r="K822" s="288">
        <v>6</v>
      </c>
      <c r="L822" s="289">
        <f>(Y822*K822%)/G822*1000</f>
        <v>15193846.153846154</v>
      </c>
      <c r="M822" s="288">
        <v>6</v>
      </c>
      <c r="N822" s="289">
        <f>(Y822*M822%)/G822*1000</f>
        <v>15193846.153846154</v>
      </c>
      <c r="O822" s="290">
        <v>5231.6</v>
      </c>
      <c r="P822" s="291" t="s">
        <v>1590</v>
      </c>
      <c r="Q822" s="288">
        <v>1.05</v>
      </c>
      <c r="R822" s="289">
        <f>O822*diezel*Q822</f>
        <v>105369189.98760001</v>
      </c>
      <c r="S822" s="292" t="s">
        <v>1695</v>
      </c>
      <c r="T822" s="296">
        <f>BLthodkmay!E161</f>
        <v>2965734</v>
      </c>
      <c r="U822" s="250">
        <f>ROUND((J822+L822+N822+R822+T822),0)</f>
        <v>156765309</v>
      </c>
      <c r="V822" s="250">
        <v>157013360</v>
      </c>
      <c r="W822" s="250">
        <v>156611637</v>
      </c>
      <c r="X822" s="250">
        <v>156022443</v>
      </c>
      <c r="Y822" s="293">
        <v>65840000</v>
      </c>
      <c r="Z822" s="294"/>
      <c r="AA822" s="251"/>
      <c r="AB822" s="251"/>
    </row>
    <row r="823" spans="1:28" s="295" customFormat="1" ht="15.75">
      <c r="A823" s="297"/>
      <c r="B823" s="284"/>
      <c r="C823" s="298"/>
      <c r="D823" s="284"/>
      <c r="E823" s="272"/>
      <c r="F823" s="151" t="s">
        <v>1696</v>
      </c>
      <c r="G823" s="284"/>
      <c r="H823" s="284"/>
      <c r="I823" s="284"/>
      <c r="J823" s="299"/>
      <c r="K823" s="288"/>
      <c r="L823" s="289"/>
      <c r="M823" s="288"/>
      <c r="N823" s="300"/>
      <c r="O823" s="290"/>
      <c r="P823" s="291"/>
      <c r="Q823" s="288"/>
      <c r="R823" s="300"/>
      <c r="S823" s="292"/>
      <c r="T823" s="296"/>
      <c r="U823" s="250">
        <f>ROUND((J823+L823+N823+R823+T823),0)</f>
        <v>0</v>
      </c>
      <c r="V823" s="250"/>
      <c r="W823" s="250">
        <v>0</v>
      </c>
      <c r="X823" s="250"/>
      <c r="Y823" s="293"/>
      <c r="Z823" s="385"/>
      <c r="AA823" s="251"/>
      <c r="AB823" s="251"/>
    </row>
    <row r="824" spans="1:28" s="295" customFormat="1" ht="56.25" customHeight="1">
      <c r="A824" s="284">
        <v>663</v>
      </c>
      <c r="B824" s="284">
        <v>0</v>
      </c>
      <c r="C824" s="284" t="s">
        <v>1697</v>
      </c>
      <c r="D824" s="284" t="s">
        <v>3644</v>
      </c>
      <c r="E824" s="285" t="s">
        <v>2122</v>
      </c>
      <c r="F824" s="286" t="s">
        <v>1698</v>
      </c>
      <c r="G824" s="284">
        <v>260</v>
      </c>
      <c r="H824" s="284">
        <v>10</v>
      </c>
      <c r="I824" s="284">
        <v>0.95</v>
      </c>
      <c r="J824" s="287">
        <f>Y824*H824%*I824/G824*1000</f>
        <v>14059451.923076924</v>
      </c>
      <c r="K824" s="288">
        <v>5.5</v>
      </c>
      <c r="L824" s="289">
        <f>(Y824*K824%)/G824*1000</f>
        <v>8139682.692307692</v>
      </c>
      <c r="M824" s="288">
        <v>6</v>
      </c>
      <c r="N824" s="289">
        <f>(Y824*M824%)/G824*1000</f>
        <v>8879653.846153846</v>
      </c>
      <c r="O824" s="290">
        <v>2662.8</v>
      </c>
      <c r="P824" s="291" t="s">
        <v>1590</v>
      </c>
      <c r="Q824" s="288">
        <v>1.05</v>
      </c>
      <c r="R824" s="289">
        <f>O824*diezel*Q824</f>
        <v>53631217.81080001</v>
      </c>
      <c r="S824" s="292" t="s">
        <v>223</v>
      </c>
      <c r="T824" s="296">
        <f>BLthodkmay!E173</f>
        <v>3546134</v>
      </c>
      <c r="U824" s="250">
        <f>ROUND((J824+L824+N824+R824+T824),0)</f>
        <v>88256140</v>
      </c>
      <c r="V824" s="250">
        <v>88795296</v>
      </c>
      <c r="W824" s="250">
        <v>88284635</v>
      </c>
      <c r="X824" s="250">
        <v>87535664</v>
      </c>
      <c r="Y824" s="293">
        <v>38478500</v>
      </c>
      <c r="Z824" s="294"/>
      <c r="AA824" s="251"/>
      <c r="AB824" s="251"/>
    </row>
    <row r="825" spans="1:28" s="295" customFormat="1" ht="15.75">
      <c r="A825" s="297"/>
      <c r="B825" s="284"/>
      <c r="C825" s="298"/>
      <c r="D825" s="284"/>
      <c r="E825" s="272"/>
      <c r="F825" s="151" t="s">
        <v>224</v>
      </c>
      <c r="G825" s="284"/>
      <c r="H825" s="284"/>
      <c r="I825" s="284"/>
      <c r="J825" s="299"/>
      <c r="K825" s="288"/>
      <c r="L825" s="289"/>
      <c r="M825" s="288"/>
      <c r="N825" s="300"/>
      <c r="O825" s="290"/>
      <c r="P825" s="291"/>
      <c r="Q825" s="288"/>
      <c r="R825" s="300"/>
      <c r="S825" s="292"/>
      <c r="T825" s="296"/>
      <c r="U825" s="250"/>
      <c r="V825" s="250"/>
      <c r="W825" s="250"/>
      <c r="X825" s="250"/>
      <c r="Y825" s="293"/>
      <c r="Z825" s="385"/>
      <c r="AA825" s="251"/>
      <c r="AB825" s="251"/>
    </row>
    <row r="826" spans="1:28" s="295" customFormat="1" ht="15.75">
      <c r="A826" s="284">
        <v>664</v>
      </c>
      <c r="B826" s="284">
        <v>0</v>
      </c>
      <c r="C826" s="284" t="s">
        <v>225</v>
      </c>
      <c r="D826" s="284" t="s">
        <v>3645</v>
      </c>
      <c r="E826" s="285" t="s">
        <v>2123</v>
      </c>
      <c r="F826" s="286" t="s">
        <v>226</v>
      </c>
      <c r="G826" s="284">
        <v>220</v>
      </c>
      <c r="H826" s="284">
        <v>13</v>
      </c>
      <c r="I826" s="284">
        <v>0.95</v>
      </c>
      <c r="J826" s="287">
        <f>Y826*H826%*I826/G826*1000</f>
        <v>598806.5909090908</v>
      </c>
      <c r="K826" s="288">
        <v>5.2</v>
      </c>
      <c r="L826" s="289">
        <f>(Y826*K826%)/G826*1000</f>
        <v>252129.0909090909</v>
      </c>
      <c r="M826" s="288">
        <v>6</v>
      </c>
      <c r="N826" s="289">
        <f>(Y826*M826%)/G826*1000</f>
        <v>290918.1818181818</v>
      </c>
      <c r="O826" s="290">
        <v>45.9</v>
      </c>
      <c r="P826" s="291" t="s">
        <v>1590</v>
      </c>
      <c r="Q826" s="288">
        <v>1.05</v>
      </c>
      <c r="R826" s="289">
        <f>O826*diezel*Q826</f>
        <v>924467.8149</v>
      </c>
      <c r="S826" s="292" t="s">
        <v>227</v>
      </c>
      <c r="T826" s="296">
        <f>'Nhan cong'!M$38*2+'Nhan cong'!M$42+'Nhan cong'!M$46</f>
        <v>567613.8461538461</v>
      </c>
      <c r="U826" s="250">
        <f>ROUND((J826+L826+N826+R826+T826),0)-1</f>
        <v>2633935</v>
      </c>
      <c r="V826" s="250">
        <v>2715024</v>
      </c>
      <c r="W826" s="250">
        <v>2633935</v>
      </c>
      <c r="X826" s="250">
        <v>2515006</v>
      </c>
      <c r="Y826" s="293">
        <v>1066700</v>
      </c>
      <c r="Z826" s="294"/>
      <c r="AA826" s="251"/>
      <c r="AB826" s="251"/>
    </row>
    <row r="827" spans="1:28" s="295" customFormat="1" ht="15.75">
      <c r="A827" s="284">
        <v>665</v>
      </c>
      <c r="B827" s="284">
        <v>0</v>
      </c>
      <c r="C827" s="284" t="s">
        <v>228</v>
      </c>
      <c r="D827" s="284" t="s">
        <v>3646</v>
      </c>
      <c r="E827" s="285" t="s">
        <v>2124</v>
      </c>
      <c r="F827" s="286" t="s">
        <v>229</v>
      </c>
      <c r="G827" s="284">
        <v>220</v>
      </c>
      <c r="H827" s="284">
        <v>13</v>
      </c>
      <c r="I827" s="284">
        <v>0.95</v>
      </c>
      <c r="J827" s="287">
        <f>Y827*H827%*I827/G827*1000</f>
        <v>685874.0909090909</v>
      </c>
      <c r="K827" s="288">
        <v>5.2</v>
      </c>
      <c r="L827" s="289">
        <f>(Y827*K827%)/G827*1000</f>
        <v>288789.09090909094</v>
      </c>
      <c r="M827" s="288">
        <v>6</v>
      </c>
      <c r="N827" s="289">
        <f>(Y827*M827%)/G827*1000</f>
        <v>333218.18181818177</v>
      </c>
      <c r="O827" s="290">
        <v>62.1</v>
      </c>
      <c r="P827" s="291" t="s">
        <v>1590</v>
      </c>
      <c r="Q827" s="288">
        <v>1.05</v>
      </c>
      <c r="R827" s="289">
        <f>O827*diezel*Q827</f>
        <v>1250750.5731000002</v>
      </c>
      <c r="S827" s="292" t="s">
        <v>178</v>
      </c>
      <c r="T827" s="296">
        <f>'Nhan cong'!M$38*2+'Nhan cong'!M$42+'Nhan cong'!M$49</f>
        <v>595600.3846153846</v>
      </c>
      <c r="U827" s="250">
        <f>ROUND((J827+L827+N827+R827+T827),0)-1</f>
        <v>3154231</v>
      </c>
      <c r="V827" s="250">
        <v>3239318</v>
      </c>
      <c r="W827" s="250">
        <v>3154231</v>
      </c>
      <c r="X827" s="250">
        <v>3029440</v>
      </c>
      <c r="Y827" s="293">
        <v>1221800</v>
      </c>
      <c r="Z827" s="294"/>
      <c r="AA827" s="251"/>
      <c r="AB827" s="251"/>
    </row>
    <row r="828" spans="1:28" s="295" customFormat="1" ht="15.75">
      <c r="A828" s="284">
        <v>666</v>
      </c>
      <c r="B828" s="284" t="s">
        <v>653</v>
      </c>
      <c r="C828" s="284" t="s">
        <v>179</v>
      </c>
      <c r="D828" s="284" t="s">
        <v>3647</v>
      </c>
      <c r="E828" s="285" t="s">
        <v>2125</v>
      </c>
      <c r="F828" s="286" t="s">
        <v>180</v>
      </c>
      <c r="G828" s="284">
        <v>220</v>
      </c>
      <c r="H828" s="284">
        <v>13</v>
      </c>
      <c r="I828" s="284">
        <v>0.95</v>
      </c>
      <c r="J828" s="287">
        <f>Y828*H828%*I828/G828*1000</f>
        <v>832221.5909090908</v>
      </c>
      <c r="K828" s="288">
        <v>5.2</v>
      </c>
      <c r="L828" s="289">
        <f>(Y828*K828%)/G828*1000</f>
        <v>350409.09090909094</v>
      </c>
      <c r="M828" s="288">
        <v>6</v>
      </c>
      <c r="N828" s="289">
        <f>(Y828*M828%)/G828*1000</f>
        <v>404318.1818181818</v>
      </c>
      <c r="O828" s="290">
        <v>70.2</v>
      </c>
      <c r="P828" s="291" t="s">
        <v>1590</v>
      </c>
      <c r="Q828" s="288">
        <v>1.05</v>
      </c>
      <c r="R828" s="289">
        <f>O828*diezel*Q828</f>
        <v>1413891.9522</v>
      </c>
      <c r="S828" s="292" t="s">
        <v>178</v>
      </c>
      <c r="T828" s="296">
        <f>'Nhan cong'!M$38*2+'Nhan cong'!M$42+'Nhan cong'!M$49</f>
        <v>595600.3846153846</v>
      </c>
      <c r="U828" s="250">
        <f>ROUND((J828+L828+N828+R828+T828),0)-1</f>
        <v>3596440</v>
      </c>
      <c r="V828" s="250">
        <v>3681527</v>
      </c>
      <c r="W828" s="250">
        <v>3596440</v>
      </c>
      <c r="X828" s="250">
        <v>3471649</v>
      </c>
      <c r="Y828" s="293">
        <v>1482500</v>
      </c>
      <c r="Z828" s="294"/>
      <c r="AA828" s="251"/>
      <c r="AB828" s="251"/>
    </row>
    <row r="829" spans="1:28" s="295" customFormat="1" ht="15.75">
      <c r="A829" s="297"/>
      <c r="B829" s="284"/>
      <c r="C829" s="298"/>
      <c r="D829" s="284"/>
      <c r="E829" s="272"/>
      <c r="F829" s="149" t="s">
        <v>181</v>
      </c>
      <c r="G829" s="284"/>
      <c r="H829" s="284"/>
      <c r="I829" s="284"/>
      <c r="J829" s="299"/>
      <c r="K829" s="301"/>
      <c r="L829" s="289"/>
      <c r="M829" s="301"/>
      <c r="N829" s="300"/>
      <c r="O829" s="302"/>
      <c r="P829" s="272"/>
      <c r="Q829" s="288"/>
      <c r="R829" s="300"/>
      <c r="S829" s="284"/>
      <c r="T829" s="296"/>
      <c r="U829" s="250"/>
      <c r="V829" s="250"/>
      <c r="W829" s="250"/>
      <c r="X829" s="250"/>
      <c r="Y829" s="293"/>
      <c r="Z829" s="385"/>
      <c r="AA829" s="251"/>
      <c r="AB829" s="251"/>
    </row>
    <row r="830" spans="1:28" s="295" customFormat="1" ht="15.75">
      <c r="A830" s="284">
        <v>667</v>
      </c>
      <c r="B830" s="284">
        <v>0</v>
      </c>
      <c r="C830" s="284" t="s">
        <v>182</v>
      </c>
      <c r="D830" s="284" t="s">
        <v>3648</v>
      </c>
      <c r="E830" s="285" t="s">
        <v>2126</v>
      </c>
      <c r="F830" s="286" t="s">
        <v>2225</v>
      </c>
      <c r="G830" s="284">
        <v>150</v>
      </c>
      <c r="H830" s="284">
        <v>20</v>
      </c>
      <c r="I830" s="284">
        <v>1</v>
      </c>
      <c r="J830" s="287">
        <f>Y830*H830%*I830/G830*1000</f>
        <v>4800</v>
      </c>
      <c r="K830" s="301">
        <v>1.7</v>
      </c>
      <c r="L830" s="289">
        <f>(Y830*K830%)/G830*1000</f>
        <v>408.00000000000006</v>
      </c>
      <c r="M830" s="301">
        <v>5</v>
      </c>
      <c r="N830" s="289">
        <f>(Y830*M830%)/G830*1000</f>
        <v>1200</v>
      </c>
      <c r="O830" s="302">
        <v>16</v>
      </c>
      <c r="P830" s="272" t="s">
        <v>433</v>
      </c>
      <c r="Q830" s="288">
        <v>1.07</v>
      </c>
      <c r="R830" s="289">
        <f>O830*dien*Q830</f>
        <v>19499.68</v>
      </c>
      <c r="S830" s="284" t="s">
        <v>295</v>
      </c>
      <c r="T830" s="296">
        <f>Nii3</f>
        <v>125620.38461538461</v>
      </c>
      <c r="U830" s="250">
        <f>ROUND((J830+L830+N830+R830+T830),0)</f>
        <v>151528</v>
      </c>
      <c r="V830" s="250">
        <v>169474</v>
      </c>
      <c r="W830" s="250">
        <v>151528</v>
      </c>
      <c r="X830" s="250">
        <v>125208</v>
      </c>
      <c r="Y830" s="293">
        <v>3600</v>
      </c>
      <c r="Z830" s="294"/>
      <c r="AA830" s="251"/>
      <c r="AB830" s="251"/>
    </row>
    <row r="831" spans="1:28" s="295" customFormat="1" ht="15.75">
      <c r="A831" s="284">
        <v>668</v>
      </c>
      <c r="B831" s="284" t="s">
        <v>786</v>
      </c>
      <c r="C831" s="284" t="s">
        <v>183</v>
      </c>
      <c r="D831" s="284" t="s">
        <v>3649</v>
      </c>
      <c r="E831" s="285" t="s">
        <v>2127</v>
      </c>
      <c r="F831" s="286" t="s">
        <v>184</v>
      </c>
      <c r="G831" s="284">
        <v>150</v>
      </c>
      <c r="H831" s="284">
        <v>20</v>
      </c>
      <c r="I831" s="284">
        <v>1</v>
      </c>
      <c r="J831" s="287">
        <f>Y831*H831%*I831/G831*1000</f>
        <v>10533.333333333334</v>
      </c>
      <c r="K831" s="301">
        <v>1.7</v>
      </c>
      <c r="L831" s="289">
        <f>(Y831*K831%)/G831*1000</f>
        <v>895.3333333333334</v>
      </c>
      <c r="M831" s="301">
        <v>5</v>
      </c>
      <c r="N831" s="289">
        <f>(Y831*M831%)/G831*1000</f>
        <v>2633.3333333333335</v>
      </c>
      <c r="O831" s="302">
        <v>28.8</v>
      </c>
      <c r="P831" s="272" t="s">
        <v>433</v>
      </c>
      <c r="Q831" s="288">
        <v>1.07</v>
      </c>
      <c r="R831" s="289">
        <f>O831*dien*Q831</f>
        <v>35099.424000000006</v>
      </c>
      <c r="S831" s="284" t="s">
        <v>295</v>
      </c>
      <c r="T831" s="296">
        <f>Nii3</f>
        <v>125620.38461538461</v>
      </c>
      <c r="U831" s="250">
        <f>ROUND((J831+L831+N831+R831+T831),0)-1</f>
        <v>174781</v>
      </c>
      <c r="V831" s="250">
        <v>192727</v>
      </c>
      <c r="W831" s="250">
        <v>174781</v>
      </c>
      <c r="X831" s="250">
        <v>148461</v>
      </c>
      <c r="Y831" s="293">
        <v>7900</v>
      </c>
      <c r="Z831" s="294"/>
      <c r="AA831" s="251"/>
      <c r="AB831" s="251"/>
    </row>
    <row r="832" spans="1:28" s="295" customFormat="1" ht="15.75">
      <c r="A832" s="297"/>
      <c r="B832" s="284"/>
      <c r="C832" s="298"/>
      <c r="D832" s="284"/>
      <c r="E832" s="272"/>
      <c r="F832" s="149" t="s">
        <v>185</v>
      </c>
      <c r="G832" s="284"/>
      <c r="H832" s="284"/>
      <c r="I832" s="284"/>
      <c r="J832" s="299"/>
      <c r="K832" s="301"/>
      <c r="L832" s="289"/>
      <c r="M832" s="301"/>
      <c r="N832" s="300"/>
      <c r="O832" s="302"/>
      <c r="P832" s="272"/>
      <c r="Q832" s="288"/>
      <c r="R832" s="300"/>
      <c r="S832" s="284"/>
      <c r="T832" s="296"/>
      <c r="U832" s="250"/>
      <c r="V832" s="250"/>
      <c r="W832" s="250"/>
      <c r="X832" s="250"/>
      <c r="Y832" s="293"/>
      <c r="Z832" s="385"/>
      <c r="AA832" s="251"/>
      <c r="AB832" s="251"/>
    </row>
    <row r="833" spans="1:28" s="295" customFormat="1" ht="15.75">
      <c r="A833" s="284">
        <v>669</v>
      </c>
      <c r="B833" s="284" t="s">
        <v>743</v>
      </c>
      <c r="C833" s="284" t="s">
        <v>186</v>
      </c>
      <c r="D833" s="284" t="s">
        <v>2862</v>
      </c>
      <c r="E833" s="285" t="s">
        <v>2128</v>
      </c>
      <c r="F833" s="286" t="s">
        <v>187</v>
      </c>
      <c r="G833" s="284">
        <v>180</v>
      </c>
      <c r="H833" s="284">
        <v>20</v>
      </c>
      <c r="I833" s="284">
        <v>0.95</v>
      </c>
      <c r="J833" s="287">
        <f aca="true" t="shared" si="182" ref="J833:J845">Y833*H833%*I833/G833*1000</f>
        <v>32299.999999999996</v>
      </c>
      <c r="K833" s="301">
        <v>6</v>
      </c>
      <c r="L833" s="289">
        <f aca="true" t="shared" si="183" ref="L833:L845">(Y833*K833%)/G833*1000</f>
        <v>10200</v>
      </c>
      <c r="M833" s="301">
        <v>5</v>
      </c>
      <c r="N833" s="289">
        <f aca="true" t="shared" si="184" ref="N833:N845">(Y833*M833%)/G833*1000</f>
        <v>8500</v>
      </c>
      <c r="O833" s="302"/>
      <c r="P833" s="272"/>
      <c r="Q833" s="288"/>
      <c r="R833" s="300">
        <f>+(O833*$AA$2)*(1+$AA$3)</f>
        <v>0</v>
      </c>
      <c r="S833" s="284"/>
      <c r="T833" s="296"/>
      <c r="U833" s="250">
        <f aca="true" t="shared" si="185" ref="U833:U845">ROUND((J833+L833+N833+R833+T833),0)</f>
        <v>51000</v>
      </c>
      <c r="V833" s="250">
        <v>51000</v>
      </c>
      <c r="W833" s="250">
        <v>51000</v>
      </c>
      <c r="X833" s="250">
        <v>51000</v>
      </c>
      <c r="Y833" s="293">
        <v>30600</v>
      </c>
      <c r="Z833" s="294"/>
      <c r="AA833" s="251"/>
      <c r="AB833" s="251"/>
    </row>
    <row r="834" spans="1:28" s="295" customFormat="1" ht="31.5">
      <c r="A834" s="284">
        <v>670</v>
      </c>
      <c r="B834" s="284" t="e">
        <v>#N/A</v>
      </c>
      <c r="C834" s="284" t="s">
        <v>188</v>
      </c>
      <c r="D834" s="284" t="s">
        <v>1091</v>
      </c>
      <c r="E834" s="285" t="s">
        <v>44</v>
      </c>
      <c r="F834" s="286" t="s">
        <v>189</v>
      </c>
      <c r="G834" s="284">
        <v>250</v>
      </c>
      <c r="H834" s="284">
        <v>15</v>
      </c>
      <c r="I834" s="284">
        <v>0.95</v>
      </c>
      <c r="J834" s="287">
        <f t="shared" si="182"/>
        <v>450300</v>
      </c>
      <c r="K834" s="301">
        <v>5</v>
      </c>
      <c r="L834" s="289">
        <f t="shared" si="183"/>
        <v>158000</v>
      </c>
      <c r="M834" s="301">
        <v>5</v>
      </c>
      <c r="N834" s="289">
        <f t="shared" si="184"/>
        <v>158000</v>
      </c>
      <c r="O834" s="302">
        <v>16.4</v>
      </c>
      <c r="P834" s="272" t="s">
        <v>1590</v>
      </c>
      <c r="Q834" s="288">
        <v>1.05</v>
      </c>
      <c r="R834" s="289">
        <f>O834*diezel*Q834</f>
        <v>330310.94039999996</v>
      </c>
      <c r="S834" s="284"/>
      <c r="T834" s="296"/>
      <c r="U834" s="250">
        <f t="shared" si="185"/>
        <v>1096611</v>
      </c>
      <c r="V834" s="250">
        <v>1096611</v>
      </c>
      <c r="W834" s="250">
        <v>1096611</v>
      </c>
      <c r="X834" s="250">
        <v>1096611</v>
      </c>
      <c r="Y834" s="293">
        <v>790000</v>
      </c>
      <c r="Z834" s="294"/>
      <c r="AA834" s="251"/>
      <c r="AB834" s="251"/>
    </row>
    <row r="835" spans="1:28" s="295" customFormat="1" ht="15.75">
      <c r="A835" s="284">
        <v>671</v>
      </c>
      <c r="B835" s="284">
        <v>0</v>
      </c>
      <c r="C835" s="284" t="s">
        <v>190</v>
      </c>
      <c r="D835" s="284" t="s">
        <v>3650</v>
      </c>
      <c r="E835" s="285" t="s">
        <v>2129</v>
      </c>
      <c r="F835" s="286" t="s">
        <v>191</v>
      </c>
      <c r="G835" s="284">
        <v>180</v>
      </c>
      <c r="H835" s="284">
        <v>14</v>
      </c>
      <c r="I835" s="284">
        <v>0.95</v>
      </c>
      <c r="J835" s="287">
        <f t="shared" si="182"/>
        <v>307377.7777777778</v>
      </c>
      <c r="K835" s="301">
        <v>3</v>
      </c>
      <c r="L835" s="289">
        <f t="shared" si="183"/>
        <v>69333.33333333333</v>
      </c>
      <c r="M835" s="301">
        <v>5</v>
      </c>
      <c r="N835" s="289">
        <f t="shared" si="184"/>
        <v>115555.55555555556</v>
      </c>
      <c r="O835" s="302">
        <v>4.5</v>
      </c>
      <c r="P835" s="272" t="s">
        <v>1590</v>
      </c>
      <c r="Q835" s="288">
        <v>1.05</v>
      </c>
      <c r="R835" s="289">
        <f>O835*diezel*Q835</f>
        <v>90634.09950000001</v>
      </c>
      <c r="S835" s="284"/>
      <c r="T835" s="296"/>
      <c r="U835" s="250">
        <f t="shared" si="185"/>
        <v>582901</v>
      </c>
      <c r="V835" s="250">
        <v>582901</v>
      </c>
      <c r="W835" s="250">
        <v>582901</v>
      </c>
      <c r="X835" s="250">
        <v>582901</v>
      </c>
      <c r="Y835" s="293">
        <v>416000</v>
      </c>
      <c r="Z835" s="294"/>
      <c r="AA835" s="251"/>
      <c r="AB835" s="251"/>
    </row>
    <row r="836" spans="1:28" s="295" customFormat="1" ht="31.5">
      <c r="A836" s="284">
        <v>672</v>
      </c>
      <c r="B836" s="284" t="s">
        <v>744</v>
      </c>
      <c r="C836" s="284" t="s">
        <v>192</v>
      </c>
      <c r="D836" s="284" t="s">
        <v>2907</v>
      </c>
      <c r="E836" s="285" t="s">
        <v>2130</v>
      </c>
      <c r="F836" s="286" t="s">
        <v>193</v>
      </c>
      <c r="G836" s="284">
        <v>180</v>
      </c>
      <c r="H836" s="284">
        <v>30</v>
      </c>
      <c r="I836" s="284">
        <v>1</v>
      </c>
      <c r="J836" s="287">
        <f t="shared" si="182"/>
        <v>9250</v>
      </c>
      <c r="K836" s="301">
        <v>6.6</v>
      </c>
      <c r="L836" s="289">
        <f t="shared" si="183"/>
        <v>2035.0000000000002</v>
      </c>
      <c r="M836" s="301">
        <v>5</v>
      </c>
      <c r="N836" s="289">
        <f t="shared" si="184"/>
        <v>1541.6666666666667</v>
      </c>
      <c r="O836" s="302"/>
      <c r="P836" s="272"/>
      <c r="Q836" s="288"/>
      <c r="R836" s="300">
        <f>+(O836*$AA$2)*(1+$AA$3)</f>
        <v>0</v>
      </c>
      <c r="S836" s="284"/>
      <c r="T836" s="296"/>
      <c r="U836" s="250">
        <f t="shared" si="185"/>
        <v>12827</v>
      </c>
      <c r="V836" s="250">
        <v>12827</v>
      </c>
      <c r="W836" s="250">
        <v>12827</v>
      </c>
      <c r="X836" s="250">
        <v>12827</v>
      </c>
      <c r="Y836" s="293">
        <v>5550</v>
      </c>
      <c r="Z836" s="294"/>
      <c r="AA836" s="251"/>
      <c r="AB836" s="251"/>
    </row>
    <row r="837" spans="1:28" s="295" customFormat="1" ht="31.5">
      <c r="A837" s="284">
        <v>673</v>
      </c>
      <c r="B837" s="284" t="s">
        <v>745</v>
      </c>
      <c r="C837" s="284" t="s">
        <v>194</v>
      </c>
      <c r="D837" s="284" t="s">
        <v>2998</v>
      </c>
      <c r="E837" s="285" t="s">
        <v>2131</v>
      </c>
      <c r="F837" s="286" t="s">
        <v>195</v>
      </c>
      <c r="G837" s="284">
        <v>180</v>
      </c>
      <c r="H837" s="284">
        <v>20</v>
      </c>
      <c r="I837" s="284">
        <v>1</v>
      </c>
      <c r="J837" s="287">
        <f t="shared" si="182"/>
        <v>11888.888888888889</v>
      </c>
      <c r="K837" s="301">
        <v>8.5</v>
      </c>
      <c r="L837" s="289">
        <f t="shared" si="183"/>
        <v>5052.777777777778</v>
      </c>
      <c r="M837" s="301">
        <v>5</v>
      </c>
      <c r="N837" s="289">
        <f t="shared" si="184"/>
        <v>2972.222222222222</v>
      </c>
      <c r="O837" s="302">
        <v>5.2</v>
      </c>
      <c r="P837" s="272" t="s">
        <v>433</v>
      </c>
      <c r="Q837" s="288">
        <v>1.07</v>
      </c>
      <c r="R837" s="289">
        <f>O837*dien*Q837</f>
        <v>6337.396000000001</v>
      </c>
      <c r="S837" s="284"/>
      <c r="T837" s="296"/>
      <c r="U837" s="250">
        <v>25657</v>
      </c>
      <c r="V837" s="250">
        <v>25657</v>
      </c>
      <c r="W837" s="250">
        <v>25657</v>
      </c>
      <c r="X837" s="250">
        <v>25657</v>
      </c>
      <c r="Y837" s="293">
        <v>10700</v>
      </c>
      <c r="Z837" s="294"/>
      <c r="AA837" s="251"/>
      <c r="AB837" s="251"/>
    </row>
    <row r="838" spans="1:28" s="295" customFormat="1" ht="15.75">
      <c r="A838" s="284">
        <v>674</v>
      </c>
      <c r="B838" s="284" t="s">
        <v>791</v>
      </c>
      <c r="C838" s="284" t="s">
        <v>196</v>
      </c>
      <c r="D838" s="284" t="s">
        <v>3651</v>
      </c>
      <c r="E838" s="285" t="s">
        <v>2132</v>
      </c>
      <c r="F838" s="286" t="s">
        <v>197</v>
      </c>
      <c r="G838" s="284">
        <v>150</v>
      </c>
      <c r="H838" s="284">
        <v>30</v>
      </c>
      <c r="I838" s="284">
        <v>1</v>
      </c>
      <c r="J838" s="287">
        <f t="shared" si="182"/>
        <v>5400</v>
      </c>
      <c r="K838" s="301">
        <v>8</v>
      </c>
      <c r="L838" s="289">
        <f t="shared" si="183"/>
        <v>1440</v>
      </c>
      <c r="M838" s="301">
        <v>5</v>
      </c>
      <c r="N838" s="289">
        <f t="shared" si="184"/>
        <v>900</v>
      </c>
      <c r="O838" s="302"/>
      <c r="P838" s="272"/>
      <c r="Q838" s="288"/>
      <c r="R838" s="289">
        <f>ROUND(O838*dien*Q838,0)</f>
        <v>0</v>
      </c>
      <c r="S838" s="284"/>
      <c r="T838" s="296"/>
      <c r="U838" s="250">
        <f t="shared" si="185"/>
        <v>7740</v>
      </c>
      <c r="V838" s="250">
        <v>7740</v>
      </c>
      <c r="W838" s="250">
        <v>7740</v>
      </c>
      <c r="X838" s="250">
        <v>7740</v>
      </c>
      <c r="Y838" s="293">
        <v>2700</v>
      </c>
      <c r="Z838" s="294"/>
      <c r="AA838" s="251"/>
      <c r="AB838" s="251"/>
    </row>
    <row r="839" spans="1:28" s="295" customFormat="1" ht="15.75">
      <c r="A839" s="284">
        <v>675</v>
      </c>
      <c r="B839" s="284" t="s">
        <v>771</v>
      </c>
      <c r="C839" s="284" t="s">
        <v>198</v>
      </c>
      <c r="D839" s="284" t="s">
        <v>3652</v>
      </c>
      <c r="E839" s="285" t="s">
        <v>2133</v>
      </c>
      <c r="F839" s="286" t="s">
        <v>199</v>
      </c>
      <c r="G839" s="284">
        <v>250</v>
      </c>
      <c r="H839" s="284">
        <v>15</v>
      </c>
      <c r="I839" s="284">
        <v>0.95</v>
      </c>
      <c r="J839" s="287">
        <f t="shared" si="182"/>
        <v>694260</v>
      </c>
      <c r="K839" s="301">
        <v>4</v>
      </c>
      <c r="L839" s="289">
        <f t="shared" si="183"/>
        <v>194880</v>
      </c>
      <c r="M839" s="301">
        <v>5</v>
      </c>
      <c r="N839" s="289">
        <f t="shared" si="184"/>
        <v>243600</v>
      </c>
      <c r="O839" s="302">
        <v>27.8</v>
      </c>
      <c r="P839" s="272" t="s">
        <v>1590</v>
      </c>
      <c r="Q839" s="288">
        <v>1.05</v>
      </c>
      <c r="R839" s="289">
        <f>O839*diezel*Q839</f>
        <v>559917.3258</v>
      </c>
      <c r="S839" s="284"/>
      <c r="T839" s="296"/>
      <c r="U839" s="250">
        <f t="shared" si="185"/>
        <v>1692657</v>
      </c>
      <c r="V839" s="250">
        <v>1692657</v>
      </c>
      <c r="W839" s="250">
        <v>1692657</v>
      </c>
      <c r="X839" s="250">
        <v>1692657</v>
      </c>
      <c r="Y839" s="293">
        <v>1218000</v>
      </c>
      <c r="Z839" s="294"/>
      <c r="AA839" s="251"/>
      <c r="AB839" s="251"/>
    </row>
    <row r="840" spans="1:28" s="295" customFormat="1" ht="31.5">
      <c r="A840" s="284">
        <v>676</v>
      </c>
      <c r="B840" s="284" t="s">
        <v>782</v>
      </c>
      <c r="C840" s="284" t="s">
        <v>200</v>
      </c>
      <c r="D840" s="284" t="s">
        <v>3653</v>
      </c>
      <c r="E840" s="285" t="s">
        <v>0</v>
      </c>
      <c r="F840" s="286" t="s">
        <v>201</v>
      </c>
      <c r="G840" s="284">
        <v>180</v>
      </c>
      <c r="H840" s="284">
        <v>14</v>
      </c>
      <c r="I840" s="284">
        <v>0.95</v>
      </c>
      <c r="J840" s="287">
        <f t="shared" si="182"/>
        <v>37905</v>
      </c>
      <c r="K840" s="301">
        <v>3.5</v>
      </c>
      <c r="L840" s="289">
        <f t="shared" si="183"/>
        <v>9975.000000000002</v>
      </c>
      <c r="M840" s="301">
        <v>5</v>
      </c>
      <c r="N840" s="289">
        <f t="shared" si="184"/>
        <v>14250</v>
      </c>
      <c r="O840" s="302"/>
      <c r="P840" s="272"/>
      <c r="Q840" s="288"/>
      <c r="R840" s="300">
        <f>+(O840*$AA$2)*(1+$AA$3)</f>
        <v>0</v>
      </c>
      <c r="S840" s="284"/>
      <c r="T840" s="296"/>
      <c r="U840" s="250">
        <f t="shared" si="185"/>
        <v>62130</v>
      </c>
      <c r="V840" s="250">
        <v>62130</v>
      </c>
      <c r="W840" s="250">
        <v>62130</v>
      </c>
      <c r="X840" s="250">
        <v>62130</v>
      </c>
      <c r="Y840" s="293">
        <v>51300</v>
      </c>
      <c r="Z840" s="294"/>
      <c r="AA840" s="251"/>
      <c r="AB840" s="251"/>
    </row>
    <row r="841" spans="1:28" s="295" customFormat="1" ht="47.25">
      <c r="A841" s="284">
        <v>677</v>
      </c>
      <c r="B841" s="284">
        <v>0</v>
      </c>
      <c r="C841" s="284" t="s">
        <v>202</v>
      </c>
      <c r="D841" s="284" t="s">
        <v>2853</v>
      </c>
      <c r="E841" s="285" t="s">
        <v>203</v>
      </c>
      <c r="F841" s="286" t="s">
        <v>203</v>
      </c>
      <c r="G841" s="284">
        <v>180</v>
      </c>
      <c r="H841" s="284">
        <v>14</v>
      </c>
      <c r="I841" s="284">
        <v>1</v>
      </c>
      <c r="J841" s="287">
        <f t="shared" si="182"/>
        <v>933.3333333333335</v>
      </c>
      <c r="K841" s="301">
        <v>1.4</v>
      </c>
      <c r="L841" s="289">
        <f t="shared" si="183"/>
        <v>93.33333333333333</v>
      </c>
      <c r="M841" s="301">
        <v>5</v>
      </c>
      <c r="N841" s="289">
        <f t="shared" si="184"/>
        <v>333.3333333333333</v>
      </c>
      <c r="O841" s="302"/>
      <c r="P841" s="272"/>
      <c r="Q841" s="288"/>
      <c r="R841" s="300">
        <f>O841*diezel*Q841</f>
        <v>0</v>
      </c>
      <c r="S841" s="284"/>
      <c r="T841" s="296"/>
      <c r="U841" s="250">
        <v>1313</v>
      </c>
      <c r="V841" s="250">
        <v>1313</v>
      </c>
      <c r="W841" s="250">
        <v>1313</v>
      </c>
      <c r="X841" s="250">
        <v>1313</v>
      </c>
      <c r="Y841" s="293">
        <v>1200</v>
      </c>
      <c r="Z841" s="294"/>
      <c r="AA841" s="251"/>
      <c r="AB841" s="251"/>
    </row>
    <row r="842" spans="1:28" s="295" customFormat="1" ht="31.5">
      <c r="A842" s="284">
        <v>678</v>
      </c>
      <c r="B842" s="284" t="s">
        <v>783</v>
      </c>
      <c r="C842" s="284" t="s">
        <v>204</v>
      </c>
      <c r="D842" s="284" t="s">
        <v>3654</v>
      </c>
      <c r="E842" s="285" t="s">
        <v>205</v>
      </c>
      <c r="F842" s="286" t="s">
        <v>205</v>
      </c>
      <c r="G842" s="284">
        <v>180</v>
      </c>
      <c r="H842" s="284">
        <v>14</v>
      </c>
      <c r="I842" s="284">
        <v>0.95</v>
      </c>
      <c r="J842" s="287">
        <f t="shared" si="182"/>
        <v>319200.00000000006</v>
      </c>
      <c r="K842" s="301">
        <v>2.8</v>
      </c>
      <c r="L842" s="289">
        <f t="shared" si="183"/>
        <v>67199.99999999999</v>
      </c>
      <c r="M842" s="301">
        <v>5</v>
      </c>
      <c r="N842" s="289">
        <f t="shared" si="184"/>
        <v>120000</v>
      </c>
      <c r="O842" s="302">
        <v>19.8</v>
      </c>
      <c r="P842" s="272" t="s">
        <v>1590</v>
      </c>
      <c r="Q842" s="288">
        <v>1.05</v>
      </c>
      <c r="R842" s="289">
        <f>O842*diezel*Q842</f>
        <v>398790.03780000005</v>
      </c>
      <c r="S842" s="284"/>
      <c r="T842" s="296"/>
      <c r="U842" s="250">
        <f t="shared" si="185"/>
        <v>905190</v>
      </c>
      <c r="V842" s="250">
        <v>905190</v>
      </c>
      <c r="W842" s="250">
        <v>905190</v>
      </c>
      <c r="X842" s="250">
        <v>905190</v>
      </c>
      <c r="Y842" s="293">
        <v>432000</v>
      </c>
      <c r="Z842" s="294"/>
      <c r="AA842" s="251"/>
      <c r="AB842" s="251"/>
    </row>
    <row r="843" spans="1:28" s="295" customFormat="1" ht="31.5">
      <c r="A843" s="284">
        <v>679</v>
      </c>
      <c r="B843" s="284">
        <v>0</v>
      </c>
      <c r="C843" s="284" t="s">
        <v>206</v>
      </c>
      <c r="D843" s="284" t="s">
        <v>3655</v>
      </c>
      <c r="E843" s="285" t="s">
        <v>207</v>
      </c>
      <c r="F843" s="286" t="s">
        <v>207</v>
      </c>
      <c r="G843" s="284">
        <v>180</v>
      </c>
      <c r="H843" s="284">
        <v>14</v>
      </c>
      <c r="I843" s="284">
        <v>0.95</v>
      </c>
      <c r="J843" s="287">
        <f t="shared" si="182"/>
        <v>219450.00000000006</v>
      </c>
      <c r="K843" s="301">
        <v>3</v>
      </c>
      <c r="L843" s="289">
        <f t="shared" si="183"/>
        <v>49500</v>
      </c>
      <c r="M843" s="301">
        <v>5</v>
      </c>
      <c r="N843" s="289">
        <f t="shared" si="184"/>
        <v>82500</v>
      </c>
      <c r="O843" s="302"/>
      <c r="P843" s="272"/>
      <c r="Q843" s="288"/>
      <c r="R843" s="300">
        <f>+(O843*$AA$2)*(1+$AA$3)</f>
        <v>0</v>
      </c>
      <c r="S843" s="284"/>
      <c r="T843" s="296"/>
      <c r="U843" s="250">
        <f t="shared" si="185"/>
        <v>351450</v>
      </c>
      <c r="V843" s="250">
        <v>351450</v>
      </c>
      <c r="W843" s="250">
        <v>351450</v>
      </c>
      <c r="X843" s="250">
        <v>351450</v>
      </c>
      <c r="Y843" s="293">
        <v>297000</v>
      </c>
      <c r="Z843" s="294"/>
      <c r="AA843" s="251"/>
      <c r="AB843" s="251"/>
    </row>
    <row r="844" spans="1:28" s="295" customFormat="1" ht="31.5">
      <c r="A844" s="284">
        <v>680</v>
      </c>
      <c r="B844" s="284" t="s">
        <v>782</v>
      </c>
      <c r="C844" s="284" t="s">
        <v>208</v>
      </c>
      <c r="D844" s="284" t="s">
        <v>3653</v>
      </c>
      <c r="E844" s="285" t="s">
        <v>0</v>
      </c>
      <c r="F844" s="286" t="s">
        <v>209</v>
      </c>
      <c r="G844" s="284">
        <v>180</v>
      </c>
      <c r="H844" s="284">
        <v>14</v>
      </c>
      <c r="I844" s="284">
        <v>1</v>
      </c>
      <c r="J844" s="287">
        <f t="shared" si="182"/>
        <v>7311.111111111112</v>
      </c>
      <c r="K844" s="301">
        <v>3.5</v>
      </c>
      <c r="L844" s="289">
        <f t="shared" si="183"/>
        <v>1827.777777777778</v>
      </c>
      <c r="M844" s="301">
        <v>5</v>
      </c>
      <c r="N844" s="289">
        <f t="shared" si="184"/>
        <v>2611.1111111111113</v>
      </c>
      <c r="O844" s="302"/>
      <c r="P844" s="272"/>
      <c r="Q844" s="288"/>
      <c r="R844" s="300">
        <f>+(O844*$AA$2)*(1+$AA$3)</f>
        <v>0</v>
      </c>
      <c r="S844" s="284"/>
      <c r="T844" s="296"/>
      <c r="U844" s="250">
        <f t="shared" si="185"/>
        <v>11750</v>
      </c>
      <c r="V844" s="250">
        <v>11750</v>
      </c>
      <c r="W844" s="250">
        <v>11750</v>
      </c>
      <c r="X844" s="250">
        <v>11750</v>
      </c>
      <c r="Y844" s="293">
        <v>9400</v>
      </c>
      <c r="Z844" s="294"/>
      <c r="AA844" s="251"/>
      <c r="AB844" s="251"/>
    </row>
    <row r="845" spans="1:28" s="295" customFormat="1" ht="15.75">
      <c r="A845" s="284">
        <v>681</v>
      </c>
      <c r="B845" s="284" t="s">
        <v>741</v>
      </c>
      <c r="C845" s="284" t="s">
        <v>210</v>
      </c>
      <c r="D845" s="284" t="s">
        <v>1221</v>
      </c>
      <c r="E845" s="285" t="s">
        <v>1</v>
      </c>
      <c r="F845" s="286" t="s">
        <v>211</v>
      </c>
      <c r="G845" s="284">
        <v>150</v>
      </c>
      <c r="H845" s="284">
        <v>25</v>
      </c>
      <c r="I845" s="284">
        <v>1</v>
      </c>
      <c r="J845" s="287">
        <f t="shared" si="182"/>
        <v>4833.333333333333</v>
      </c>
      <c r="K845" s="301">
        <v>4.5</v>
      </c>
      <c r="L845" s="289">
        <f t="shared" si="183"/>
        <v>870</v>
      </c>
      <c r="M845" s="301">
        <v>5</v>
      </c>
      <c r="N845" s="289">
        <f t="shared" si="184"/>
        <v>966.6666666666666</v>
      </c>
      <c r="O845" s="302"/>
      <c r="P845" s="272"/>
      <c r="Q845" s="288"/>
      <c r="R845" s="300">
        <f>+(O845*$AA$2)*(1+$AA$3)</f>
        <v>0</v>
      </c>
      <c r="S845" s="284"/>
      <c r="T845" s="296"/>
      <c r="U845" s="250">
        <f t="shared" si="185"/>
        <v>6670</v>
      </c>
      <c r="V845" s="250">
        <v>6670</v>
      </c>
      <c r="W845" s="250">
        <v>6670</v>
      </c>
      <c r="X845" s="250">
        <v>6670</v>
      </c>
      <c r="Y845" s="293">
        <v>2900</v>
      </c>
      <c r="Z845" s="294"/>
      <c r="AA845" s="251"/>
      <c r="AB845" s="251"/>
    </row>
    <row r="846" spans="1:28" s="295" customFormat="1" ht="15.75">
      <c r="A846" s="297"/>
      <c r="B846" s="284"/>
      <c r="C846" s="298"/>
      <c r="D846" s="284"/>
      <c r="E846" s="272"/>
      <c r="F846" s="149" t="s">
        <v>212</v>
      </c>
      <c r="G846" s="284"/>
      <c r="H846" s="284"/>
      <c r="I846" s="284"/>
      <c r="J846" s="299"/>
      <c r="K846" s="301"/>
      <c r="L846" s="289"/>
      <c r="M846" s="301"/>
      <c r="N846" s="300"/>
      <c r="O846" s="302"/>
      <c r="P846" s="272"/>
      <c r="Q846" s="288"/>
      <c r="R846" s="300"/>
      <c r="S846" s="284"/>
      <c r="T846" s="296"/>
      <c r="U846" s="250"/>
      <c r="V846" s="250"/>
      <c r="W846" s="250"/>
      <c r="X846" s="250"/>
      <c r="Y846" s="293"/>
      <c r="Z846" s="385"/>
      <c r="AA846" s="251"/>
      <c r="AB846" s="251"/>
    </row>
    <row r="847" spans="1:28" s="295" customFormat="1" ht="15.75">
      <c r="A847" s="284">
        <v>682</v>
      </c>
      <c r="B847" s="284" t="s">
        <v>776</v>
      </c>
      <c r="C847" s="284" t="s">
        <v>213</v>
      </c>
      <c r="D847" s="284" t="s">
        <v>3656</v>
      </c>
      <c r="E847" s="285" t="s">
        <v>214</v>
      </c>
      <c r="F847" s="286" t="s">
        <v>214</v>
      </c>
      <c r="G847" s="284">
        <v>150</v>
      </c>
      <c r="H847" s="284">
        <v>11</v>
      </c>
      <c r="I847" s="284">
        <v>0.95</v>
      </c>
      <c r="J847" s="287">
        <f>Y847*H847%*I847/G847*1000</f>
        <v>249546.00000000003</v>
      </c>
      <c r="K847" s="301">
        <v>5</v>
      </c>
      <c r="L847" s="289">
        <f>(Y847*K847%)/G847*1000</f>
        <v>119400</v>
      </c>
      <c r="M847" s="301">
        <v>5</v>
      </c>
      <c r="N847" s="289">
        <f>(Y847*M847%)/G847*1000</f>
        <v>119400</v>
      </c>
      <c r="O847" s="302">
        <v>45.6</v>
      </c>
      <c r="P847" s="272" t="s">
        <v>1590</v>
      </c>
      <c r="Q847" s="288">
        <v>1.05</v>
      </c>
      <c r="R847" s="289">
        <f>O847*diezel*Q847</f>
        <v>918425.5416</v>
      </c>
      <c r="S847" s="284" t="s">
        <v>1591</v>
      </c>
      <c r="T847" s="296">
        <f>Nii4</f>
        <v>145974.23076923078</v>
      </c>
      <c r="U847" s="250">
        <f>ROUND((J847+L847+N847+R847+T847),0)-1</f>
        <v>1552745</v>
      </c>
      <c r="V847" s="250">
        <v>1573600</v>
      </c>
      <c r="W847" s="250">
        <v>1552745</v>
      </c>
      <c r="X847" s="250">
        <v>1522161</v>
      </c>
      <c r="Y847" s="293">
        <v>358200</v>
      </c>
      <c r="Z847" s="294"/>
      <c r="AA847" s="251"/>
      <c r="AB847" s="251"/>
    </row>
    <row r="848" spans="1:28" s="295" customFormat="1" ht="31.5">
      <c r="A848" s="284">
        <v>683</v>
      </c>
      <c r="B848" s="284" t="s">
        <v>775</v>
      </c>
      <c r="C848" s="284" t="s">
        <v>215</v>
      </c>
      <c r="D848" s="284" t="s">
        <v>3657</v>
      </c>
      <c r="E848" s="285" t="s">
        <v>2</v>
      </c>
      <c r="F848" s="286" t="s">
        <v>216</v>
      </c>
      <c r="G848" s="284">
        <v>150</v>
      </c>
      <c r="H848" s="284">
        <v>11</v>
      </c>
      <c r="I848" s="284">
        <v>0.95</v>
      </c>
      <c r="J848" s="287">
        <f>Y848*H848%*I848/G848*1000</f>
        <v>290788.6666666666</v>
      </c>
      <c r="K848" s="301">
        <v>5</v>
      </c>
      <c r="L848" s="289">
        <f>(Y848*K848%)/G848*1000</f>
        <v>139133.3333333333</v>
      </c>
      <c r="M848" s="301">
        <v>5</v>
      </c>
      <c r="N848" s="289">
        <f>(Y848*M848%)/G848*1000</f>
        <v>139133.3333333333</v>
      </c>
      <c r="O848" s="302">
        <v>48.6</v>
      </c>
      <c r="P848" s="272" t="s">
        <v>1590</v>
      </c>
      <c r="Q848" s="288">
        <v>1.05</v>
      </c>
      <c r="R848" s="289">
        <f>O848*diezel*Q848</f>
        <v>978848.2746000001</v>
      </c>
      <c r="S848" s="284" t="s">
        <v>1591</v>
      </c>
      <c r="T848" s="296">
        <f>Nii4</f>
        <v>145974.23076923078</v>
      </c>
      <c r="U848" s="250">
        <f>ROUND((J848+L848+N848+R848+T848),0)-1</f>
        <v>1693877</v>
      </c>
      <c r="V848" s="250">
        <v>1714732</v>
      </c>
      <c r="W848" s="250">
        <v>1693877</v>
      </c>
      <c r="X848" s="250">
        <v>1663293</v>
      </c>
      <c r="Y848" s="293">
        <v>417400</v>
      </c>
      <c r="Z848" s="294"/>
      <c r="AA848" s="251"/>
      <c r="AB848" s="251"/>
    </row>
    <row r="849" spans="1:28" s="295" customFormat="1" ht="31.5">
      <c r="A849" s="284">
        <v>684</v>
      </c>
      <c r="B849" s="284">
        <v>0</v>
      </c>
      <c r="C849" s="284" t="s">
        <v>217</v>
      </c>
      <c r="D849" s="284" t="s">
        <v>3658</v>
      </c>
      <c r="E849" s="285" t="s">
        <v>3</v>
      </c>
      <c r="F849" s="286" t="s">
        <v>218</v>
      </c>
      <c r="G849" s="284">
        <v>150</v>
      </c>
      <c r="H849" s="284">
        <v>11</v>
      </c>
      <c r="I849" s="284">
        <v>0.95</v>
      </c>
      <c r="J849" s="287">
        <f>Y849*H849%*I849/G849*1000</f>
        <v>670750.6666666666</v>
      </c>
      <c r="K849" s="301">
        <v>3.5</v>
      </c>
      <c r="L849" s="289">
        <f>(Y849*K849%)/G849*1000</f>
        <v>224653.33333333334</v>
      </c>
      <c r="M849" s="301">
        <v>5</v>
      </c>
      <c r="N849" s="289">
        <f>(Y849*M849%)/G849*1000</f>
        <v>320933.3333333333</v>
      </c>
      <c r="O849" s="302">
        <v>89.3</v>
      </c>
      <c r="P849" s="272" t="s">
        <v>1590</v>
      </c>
      <c r="Q849" s="288">
        <v>1.05</v>
      </c>
      <c r="R849" s="289">
        <f>O849*diezel*Q849</f>
        <v>1798583.3523</v>
      </c>
      <c r="S849" s="284" t="s">
        <v>311</v>
      </c>
      <c r="T849" s="296">
        <f>Nii5</f>
        <v>170398.84615384616</v>
      </c>
      <c r="U849" s="250">
        <f>ROUND((J849+L849+N849+R849+T849),0)-1</f>
        <v>3185319</v>
      </c>
      <c r="V849" s="250">
        <v>3209663</v>
      </c>
      <c r="W849" s="250">
        <v>3185319</v>
      </c>
      <c r="X849" s="250">
        <v>3149617</v>
      </c>
      <c r="Y849" s="293">
        <v>962800</v>
      </c>
      <c r="Z849" s="294"/>
      <c r="AA849" s="251"/>
      <c r="AB849" s="251"/>
    </row>
    <row r="850" spans="1:28" s="295" customFormat="1" ht="15.75">
      <c r="A850" s="297"/>
      <c r="B850" s="284"/>
      <c r="C850" s="298"/>
      <c r="D850" s="284"/>
      <c r="E850" s="272"/>
      <c r="F850" s="149" t="s">
        <v>219</v>
      </c>
      <c r="G850" s="284"/>
      <c r="H850" s="284"/>
      <c r="I850" s="284"/>
      <c r="J850" s="299"/>
      <c r="K850" s="301"/>
      <c r="L850" s="289"/>
      <c r="M850" s="301"/>
      <c r="N850" s="300"/>
      <c r="O850" s="302"/>
      <c r="P850" s="272"/>
      <c r="Q850" s="288"/>
      <c r="R850" s="300"/>
      <c r="S850" s="284"/>
      <c r="T850" s="296"/>
      <c r="U850" s="250"/>
      <c r="V850" s="250"/>
      <c r="W850" s="250"/>
      <c r="X850" s="250"/>
      <c r="Y850" s="293"/>
      <c r="Z850" s="385"/>
      <c r="AA850" s="251"/>
      <c r="AB850" s="251"/>
    </row>
    <row r="851" spans="1:28" s="295" customFormat="1" ht="15.75">
      <c r="A851" s="284">
        <v>685</v>
      </c>
      <c r="B851" s="284">
        <v>0</v>
      </c>
      <c r="C851" s="284" t="s">
        <v>220</v>
      </c>
      <c r="D851" s="284" t="s">
        <v>3659</v>
      </c>
      <c r="E851" s="285" t="s">
        <v>4</v>
      </c>
      <c r="F851" s="286" t="s">
        <v>221</v>
      </c>
      <c r="G851" s="284">
        <v>150</v>
      </c>
      <c r="H851" s="284">
        <v>14</v>
      </c>
      <c r="I851" s="284">
        <v>0.95</v>
      </c>
      <c r="J851" s="287">
        <f>Y851*H851%*I851/G851*1000</f>
        <v>24206</v>
      </c>
      <c r="K851" s="301">
        <v>3.2</v>
      </c>
      <c r="L851" s="289">
        <f>(Y851*K851%)/G851*1000</f>
        <v>5824</v>
      </c>
      <c r="M851" s="301">
        <v>4</v>
      </c>
      <c r="N851" s="289">
        <f>(Y851*M851%)/G851*1000</f>
        <v>7280</v>
      </c>
      <c r="O851" s="302"/>
      <c r="P851" s="272"/>
      <c r="Q851" s="288"/>
      <c r="R851" s="300">
        <f>+(O851*$AA$2)*(1+$AA$3)</f>
        <v>0</v>
      </c>
      <c r="S851" s="284"/>
      <c r="T851" s="296"/>
      <c r="U851" s="250">
        <f>ROUND((J851+L851+N851+R851+T851),0)</f>
        <v>37310</v>
      </c>
      <c r="V851" s="250">
        <v>37310</v>
      </c>
      <c r="W851" s="250">
        <v>37310</v>
      </c>
      <c r="X851" s="250">
        <v>37310</v>
      </c>
      <c r="Y851" s="293">
        <v>27300</v>
      </c>
      <c r="Z851" s="294"/>
      <c r="AA851" s="251"/>
      <c r="AB851" s="251"/>
    </row>
    <row r="852" spans="1:28" s="295" customFormat="1" ht="15.75">
      <c r="A852" s="284">
        <v>686</v>
      </c>
      <c r="B852" s="284" t="e">
        <v>#N/A</v>
      </c>
      <c r="C852" s="284" t="s">
        <v>222</v>
      </c>
      <c r="D852" s="284" t="s">
        <v>806</v>
      </c>
      <c r="E852" s="285" t="s">
        <v>805</v>
      </c>
      <c r="F852" s="286" t="s">
        <v>1499</v>
      </c>
      <c r="G852" s="284">
        <v>150</v>
      </c>
      <c r="H852" s="284">
        <v>14</v>
      </c>
      <c r="I852" s="284">
        <v>0.95</v>
      </c>
      <c r="J852" s="287">
        <f>Y852*H852%*I852/G852*1000</f>
        <v>29969.333333333332</v>
      </c>
      <c r="K852" s="301">
        <v>3.2</v>
      </c>
      <c r="L852" s="289">
        <f>(Y852*K852%)/G852*1000</f>
        <v>7210.666666666666</v>
      </c>
      <c r="M852" s="301">
        <v>4</v>
      </c>
      <c r="N852" s="289">
        <f>(Y852*M852%)/G852*1000</f>
        <v>9013.333333333334</v>
      </c>
      <c r="O852" s="302"/>
      <c r="P852" s="272"/>
      <c r="Q852" s="288"/>
      <c r="R852" s="300">
        <f>+(O852*$AA$2)*(1+$AA$3)</f>
        <v>0</v>
      </c>
      <c r="S852" s="284"/>
      <c r="T852" s="296"/>
      <c r="U852" s="250">
        <f>ROUND((J852+L852+N852+R852+T852),0)</f>
        <v>46193</v>
      </c>
      <c r="V852" s="250">
        <v>46193</v>
      </c>
      <c r="W852" s="250">
        <v>46193</v>
      </c>
      <c r="X852" s="250">
        <v>46193</v>
      </c>
      <c r="Y852" s="293">
        <v>33800</v>
      </c>
      <c r="Z852" s="294"/>
      <c r="AA852" s="251"/>
      <c r="AB852" s="251"/>
    </row>
    <row r="853" spans="1:28" s="295" customFormat="1" ht="15.75">
      <c r="A853" s="297"/>
      <c r="B853" s="284"/>
      <c r="C853" s="298"/>
      <c r="D853" s="284"/>
      <c r="E853" s="272"/>
      <c r="F853" s="149" t="s">
        <v>1500</v>
      </c>
      <c r="G853" s="284"/>
      <c r="H853" s="284"/>
      <c r="I853" s="284"/>
      <c r="J853" s="299"/>
      <c r="K853" s="301"/>
      <c r="L853" s="289"/>
      <c r="M853" s="301"/>
      <c r="N853" s="300"/>
      <c r="O853" s="302"/>
      <c r="P853" s="272"/>
      <c r="Q853" s="288"/>
      <c r="R853" s="300"/>
      <c r="S853" s="284"/>
      <c r="T853" s="296"/>
      <c r="U853" s="250"/>
      <c r="V853" s="250"/>
      <c r="W853" s="250"/>
      <c r="X853" s="250"/>
      <c r="Y853" s="293"/>
      <c r="Z853" s="385"/>
      <c r="AA853" s="251"/>
      <c r="AB853" s="251"/>
    </row>
    <row r="854" spans="1:28" s="295" customFormat="1" ht="15.75">
      <c r="A854" s="284">
        <v>687</v>
      </c>
      <c r="B854" s="284" t="s">
        <v>788</v>
      </c>
      <c r="C854" s="284" t="s">
        <v>1501</v>
      </c>
      <c r="D854" s="284" t="s">
        <v>3660</v>
      </c>
      <c r="E854" s="285" t="s">
        <v>5</v>
      </c>
      <c r="F854" s="286" t="s">
        <v>1502</v>
      </c>
      <c r="G854" s="284">
        <v>180</v>
      </c>
      <c r="H854" s="284">
        <v>14</v>
      </c>
      <c r="I854" s="284">
        <v>0.95</v>
      </c>
      <c r="J854" s="287">
        <f aca="true" t="shared" si="186" ref="J854:J864">Y854*H854%*I854/G854*1000</f>
        <v>12191.666666666666</v>
      </c>
      <c r="K854" s="301">
        <v>2.5</v>
      </c>
      <c r="L854" s="289">
        <f aca="true" t="shared" si="187" ref="L854:L864">(Y854*K854%)/G854*1000</f>
        <v>2291.6666666666665</v>
      </c>
      <c r="M854" s="301">
        <v>4</v>
      </c>
      <c r="N854" s="289">
        <f aca="true" t="shared" si="188" ref="N854:N864">(Y854*M854%)/G854*1000</f>
        <v>3666.6666666666665</v>
      </c>
      <c r="O854" s="302"/>
      <c r="P854" s="272"/>
      <c r="Q854" s="288"/>
      <c r="R854" s="300">
        <f aca="true" t="shared" si="189" ref="R854:R863">+(O854*$AA$2)*(1+$AA$3)</f>
        <v>0</v>
      </c>
      <c r="S854" s="284"/>
      <c r="T854" s="296"/>
      <c r="U854" s="250">
        <f aca="true" t="shared" si="190" ref="U854:U864">ROUND((J854+L854+N854+R854+T854),0)</f>
        <v>18150</v>
      </c>
      <c r="V854" s="250">
        <v>18150</v>
      </c>
      <c r="W854" s="250">
        <v>18150</v>
      </c>
      <c r="X854" s="250">
        <v>18150</v>
      </c>
      <c r="Y854" s="293">
        <v>16500</v>
      </c>
      <c r="Z854" s="294"/>
      <c r="AA854" s="251"/>
      <c r="AB854" s="251"/>
    </row>
    <row r="855" spans="1:28" s="295" customFormat="1" ht="15.75">
      <c r="A855" s="284">
        <v>688</v>
      </c>
      <c r="B855" s="284" t="s">
        <v>787</v>
      </c>
      <c r="C855" s="284" t="s">
        <v>1503</v>
      </c>
      <c r="D855" s="284" t="s">
        <v>3661</v>
      </c>
      <c r="E855" s="285" t="s">
        <v>6</v>
      </c>
      <c r="F855" s="286" t="s">
        <v>1504</v>
      </c>
      <c r="G855" s="284">
        <v>180</v>
      </c>
      <c r="H855" s="284">
        <v>14</v>
      </c>
      <c r="I855" s="284">
        <v>0.95</v>
      </c>
      <c r="J855" s="287">
        <f t="shared" si="186"/>
        <v>28447.222222222226</v>
      </c>
      <c r="K855" s="301">
        <v>2.2</v>
      </c>
      <c r="L855" s="289">
        <f t="shared" si="187"/>
        <v>4705.555555555557</v>
      </c>
      <c r="M855" s="301">
        <v>4</v>
      </c>
      <c r="N855" s="289">
        <f t="shared" si="188"/>
        <v>8555.555555555555</v>
      </c>
      <c r="O855" s="302"/>
      <c r="P855" s="272"/>
      <c r="Q855" s="288"/>
      <c r="R855" s="300">
        <f t="shared" si="189"/>
        <v>0</v>
      </c>
      <c r="S855" s="284"/>
      <c r="T855" s="296"/>
      <c r="U855" s="250">
        <f t="shared" si="190"/>
        <v>41708</v>
      </c>
      <c r="V855" s="250">
        <v>41708</v>
      </c>
      <c r="W855" s="250">
        <v>41708</v>
      </c>
      <c r="X855" s="250">
        <v>41708</v>
      </c>
      <c r="Y855" s="293">
        <v>38500</v>
      </c>
      <c r="Z855" s="294"/>
      <c r="AA855" s="251"/>
      <c r="AB855" s="251"/>
    </row>
    <row r="856" spans="1:28" s="295" customFormat="1" ht="15.75">
      <c r="A856" s="284">
        <v>689</v>
      </c>
      <c r="B856" s="284" t="s">
        <v>754</v>
      </c>
      <c r="C856" s="284" t="s">
        <v>1505</v>
      </c>
      <c r="D856" s="284" t="s">
        <v>1032</v>
      </c>
      <c r="E856" s="285" t="s">
        <v>7</v>
      </c>
      <c r="F856" s="286" t="s">
        <v>1506</v>
      </c>
      <c r="G856" s="284">
        <v>180</v>
      </c>
      <c r="H856" s="284">
        <v>14</v>
      </c>
      <c r="I856" s="284">
        <v>0.95</v>
      </c>
      <c r="J856" s="287">
        <f t="shared" si="186"/>
        <v>46993.333333333336</v>
      </c>
      <c r="K856" s="301">
        <v>2</v>
      </c>
      <c r="L856" s="289">
        <f t="shared" si="187"/>
        <v>7066.666666666666</v>
      </c>
      <c r="M856" s="301">
        <v>4</v>
      </c>
      <c r="N856" s="289">
        <f t="shared" si="188"/>
        <v>14133.333333333332</v>
      </c>
      <c r="O856" s="302"/>
      <c r="P856" s="272"/>
      <c r="Q856" s="288"/>
      <c r="R856" s="300">
        <f t="shared" si="189"/>
        <v>0</v>
      </c>
      <c r="S856" s="284"/>
      <c r="T856" s="296"/>
      <c r="U856" s="250">
        <f t="shared" si="190"/>
        <v>68193</v>
      </c>
      <c r="V856" s="250">
        <v>68193</v>
      </c>
      <c r="W856" s="250">
        <v>68193</v>
      </c>
      <c r="X856" s="250">
        <v>68193</v>
      </c>
      <c r="Y856" s="293">
        <v>63600</v>
      </c>
      <c r="Z856" s="294"/>
      <c r="AA856" s="251"/>
      <c r="AB856" s="251"/>
    </row>
    <row r="857" spans="1:28" s="295" customFormat="1" ht="15.75">
      <c r="A857" s="284">
        <v>690</v>
      </c>
      <c r="B857" s="284" t="s">
        <v>779</v>
      </c>
      <c r="C857" s="284" t="s">
        <v>1507</v>
      </c>
      <c r="D857" s="284" t="s">
        <v>3662</v>
      </c>
      <c r="E857" s="285" t="s">
        <v>8</v>
      </c>
      <c r="F857" s="286" t="s">
        <v>1508</v>
      </c>
      <c r="G857" s="284">
        <v>180</v>
      </c>
      <c r="H857" s="284">
        <v>14</v>
      </c>
      <c r="I857" s="284">
        <v>1</v>
      </c>
      <c r="J857" s="287">
        <f t="shared" si="186"/>
        <v>6455.555555555556</v>
      </c>
      <c r="K857" s="301">
        <v>3</v>
      </c>
      <c r="L857" s="289">
        <f t="shared" si="187"/>
        <v>1383.3333333333333</v>
      </c>
      <c r="M857" s="301">
        <v>4</v>
      </c>
      <c r="N857" s="289">
        <f t="shared" si="188"/>
        <v>1844.4444444444446</v>
      </c>
      <c r="O857" s="302"/>
      <c r="P857" s="272"/>
      <c r="Q857" s="288"/>
      <c r="R857" s="300">
        <f t="shared" si="189"/>
        <v>0</v>
      </c>
      <c r="S857" s="284"/>
      <c r="T857" s="296"/>
      <c r="U857" s="250">
        <f t="shared" si="190"/>
        <v>9683</v>
      </c>
      <c r="V857" s="250">
        <v>9683</v>
      </c>
      <c r="W857" s="250">
        <v>9683</v>
      </c>
      <c r="X857" s="250">
        <v>9683</v>
      </c>
      <c r="Y857" s="293">
        <v>8300</v>
      </c>
      <c r="Z857" s="294"/>
      <c r="AA857" s="251"/>
      <c r="AB857" s="251"/>
    </row>
    <row r="858" spans="1:28" s="295" customFormat="1" ht="15.75">
      <c r="A858" s="284">
        <v>691</v>
      </c>
      <c r="B858" s="284" t="s">
        <v>780</v>
      </c>
      <c r="C858" s="284" t="s">
        <v>1509</v>
      </c>
      <c r="D858" s="284" t="s">
        <v>3663</v>
      </c>
      <c r="E858" s="285" t="s">
        <v>9</v>
      </c>
      <c r="F858" s="286" t="s">
        <v>1510</v>
      </c>
      <c r="G858" s="284">
        <v>180</v>
      </c>
      <c r="H858" s="284">
        <v>14</v>
      </c>
      <c r="I858" s="284">
        <v>1</v>
      </c>
      <c r="J858" s="287">
        <f t="shared" si="186"/>
        <v>9722.222222222223</v>
      </c>
      <c r="K858" s="301">
        <v>2.8</v>
      </c>
      <c r="L858" s="289">
        <f t="shared" si="187"/>
        <v>1944.4444444444441</v>
      </c>
      <c r="M858" s="301">
        <v>4</v>
      </c>
      <c r="N858" s="289">
        <f t="shared" si="188"/>
        <v>2777.777777777778</v>
      </c>
      <c r="O858" s="302"/>
      <c r="P858" s="272"/>
      <c r="Q858" s="288"/>
      <c r="R858" s="300">
        <f t="shared" si="189"/>
        <v>0</v>
      </c>
      <c r="S858" s="284"/>
      <c r="T858" s="296"/>
      <c r="U858" s="250">
        <v>13958</v>
      </c>
      <c r="V858" s="250">
        <v>13958</v>
      </c>
      <c r="W858" s="250">
        <v>13958</v>
      </c>
      <c r="X858" s="250">
        <v>13958</v>
      </c>
      <c r="Y858" s="293">
        <v>12500</v>
      </c>
      <c r="Z858" s="294"/>
      <c r="AA858" s="251"/>
      <c r="AB858" s="251"/>
    </row>
    <row r="859" spans="1:28" s="295" customFormat="1" ht="15.75">
      <c r="A859" s="284">
        <v>692</v>
      </c>
      <c r="B859" s="284" t="s">
        <v>753</v>
      </c>
      <c r="C859" s="284" t="s">
        <v>1511</v>
      </c>
      <c r="D859" s="284" t="s">
        <v>817</v>
      </c>
      <c r="E859" s="285" t="s">
        <v>1512</v>
      </c>
      <c r="F859" s="286" t="s">
        <v>1512</v>
      </c>
      <c r="G859" s="284">
        <v>180</v>
      </c>
      <c r="H859" s="284">
        <v>14</v>
      </c>
      <c r="I859" s="284">
        <v>0.95</v>
      </c>
      <c r="J859" s="287">
        <f t="shared" si="186"/>
        <v>17290.000000000004</v>
      </c>
      <c r="K859" s="301">
        <v>2.2</v>
      </c>
      <c r="L859" s="289">
        <f t="shared" si="187"/>
        <v>2860.0000000000005</v>
      </c>
      <c r="M859" s="301">
        <v>4</v>
      </c>
      <c r="N859" s="289">
        <f t="shared" si="188"/>
        <v>5200</v>
      </c>
      <c r="O859" s="302"/>
      <c r="P859" s="272"/>
      <c r="Q859" s="288"/>
      <c r="R859" s="300">
        <f t="shared" si="189"/>
        <v>0</v>
      </c>
      <c r="S859" s="284"/>
      <c r="T859" s="296"/>
      <c r="U859" s="250">
        <f t="shared" si="190"/>
        <v>25350</v>
      </c>
      <c r="V859" s="250">
        <v>25350</v>
      </c>
      <c r="W859" s="250">
        <v>25350</v>
      </c>
      <c r="X859" s="250">
        <v>25350</v>
      </c>
      <c r="Y859" s="293">
        <v>23400</v>
      </c>
      <c r="Z859" s="294"/>
      <c r="AA859" s="251"/>
      <c r="AB859" s="251"/>
    </row>
    <row r="860" spans="1:28" s="295" customFormat="1" ht="15.75">
      <c r="A860" s="284">
        <v>693</v>
      </c>
      <c r="B860" s="284" t="s">
        <v>742</v>
      </c>
      <c r="C860" s="284" t="s">
        <v>1513</v>
      </c>
      <c r="D860" s="284" t="s">
        <v>2829</v>
      </c>
      <c r="E860" s="285" t="s">
        <v>10</v>
      </c>
      <c r="F860" s="286" t="s">
        <v>1514</v>
      </c>
      <c r="G860" s="284">
        <v>180</v>
      </c>
      <c r="H860" s="284">
        <v>20</v>
      </c>
      <c r="I860" s="284">
        <v>1</v>
      </c>
      <c r="J860" s="287">
        <f t="shared" si="186"/>
        <v>1777.7777777777776</v>
      </c>
      <c r="K860" s="301">
        <v>3</v>
      </c>
      <c r="L860" s="289">
        <f t="shared" si="187"/>
        <v>266.6666666666667</v>
      </c>
      <c r="M860" s="301">
        <v>4</v>
      </c>
      <c r="N860" s="289">
        <f t="shared" si="188"/>
        <v>355.55555555555554</v>
      </c>
      <c r="O860" s="302"/>
      <c r="P860" s="272"/>
      <c r="Q860" s="288"/>
      <c r="R860" s="300">
        <f t="shared" si="189"/>
        <v>0</v>
      </c>
      <c r="S860" s="284"/>
      <c r="T860" s="296"/>
      <c r="U860" s="250">
        <f t="shared" si="190"/>
        <v>2400</v>
      </c>
      <c r="V860" s="250">
        <v>2400</v>
      </c>
      <c r="W860" s="250">
        <v>2400</v>
      </c>
      <c r="X860" s="250">
        <v>2400</v>
      </c>
      <c r="Y860" s="293">
        <v>1600</v>
      </c>
      <c r="Z860" s="294"/>
      <c r="AA860" s="251"/>
      <c r="AB860" s="251"/>
    </row>
    <row r="861" spans="1:28" s="295" customFormat="1" ht="31.5">
      <c r="A861" s="284">
        <v>694</v>
      </c>
      <c r="B861" s="284" t="e">
        <v>#N/A</v>
      </c>
      <c r="C861" s="284" t="s">
        <v>1515</v>
      </c>
      <c r="D861" s="284" t="s">
        <v>807</v>
      </c>
      <c r="E861" s="285" t="s">
        <v>808</v>
      </c>
      <c r="F861" s="286" t="s">
        <v>1516</v>
      </c>
      <c r="G861" s="284">
        <v>180</v>
      </c>
      <c r="H861" s="284">
        <v>14</v>
      </c>
      <c r="I861" s="284">
        <v>0.95</v>
      </c>
      <c r="J861" s="287">
        <f t="shared" si="186"/>
        <v>10196.666666666668</v>
      </c>
      <c r="K861" s="301">
        <v>2.8</v>
      </c>
      <c r="L861" s="289">
        <f t="shared" si="187"/>
        <v>2146.6666666666665</v>
      </c>
      <c r="M861" s="301">
        <v>4</v>
      </c>
      <c r="N861" s="289">
        <f t="shared" si="188"/>
        <v>3066.666666666667</v>
      </c>
      <c r="O861" s="302"/>
      <c r="P861" s="272"/>
      <c r="Q861" s="288"/>
      <c r="R861" s="300">
        <f t="shared" si="189"/>
        <v>0</v>
      </c>
      <c r="S861" s="284"/>
      <c r="T861" s="296"/>
      <c r="U861" s="250">
        <f t="shared" si="190"/>
        <v>15410</v>
      </c>
      <c r="V861" s="250">
        <v>15410</v>
      </c>
      <c r="W861" s="250">
        <v>15410</v>
      </c>
      <c r="X861" s="250">
        <v>15410</v>
      </c>
      <c r="Y861" s="293">
        <v>13800</v>
      </c>
      <c r="Z861" s="294"/>
      <c r="AA861" s="251"/>
      <c r="AB861" s="251"/>
    </row>
    <row r="862" spans="1:28" s="295" customFormat="1" ht="31.5">
      <c r="A862" s="284">
        <v>695</v>
      </c>
      <c r="B862" s="284" t="s">
        <v>642</v>
      </c>
      <c r="C862" s="284" t="s">
        <v>1517</v>
      </c>
      <c r="D862" s="284" t="s">
        <v>3664</v>
      </c>
      <c r="E862" s="285" t="s">
        <v>1518</v>
      </c>
      <c r="F862" s="286" t="s">
        <v>1518</v>
      </c>
      <c r="G862" s="284">
        <v>180</v>
      </c>
      <c r="H862" s="284">
        <v>14</v>
      </c>
      <c r="I862" s="284">
        <v>0.95</v>
      </c>
      <c r="J862" s="287">
        <f t="shared" si="186"/>
        <v>115266.66666666669</v>
      </c>
      <c r="K862" s="301">
        <v>1.8</v>
      </c>
      <c r="L862" s="289">
        <f t="shared" si="187"/>
        <v>15600.000000000004</v>
      </c>
      <c r="M862" s="301">
        <v>4</v>
      </c>
      <c r="N862" s="289">
        <f t="shared" si="188"/>
        <v>34666.666666666664</v>
      </c>
      <c r="O862" s="302"/>
      <c r="P862" s="272"/>
      <c r="Q862" s="288"/>
      <c r="R862" s="300">
        <f t="shared" si="189"/>
        <v>0</v>
      </c>
      <c r="S862" s="284"/>
      <c r="T862" s="296"/>
      <c r="U862" s="250">
        <f t="shared" si="190"/>
        <v>165533</v>
      </c>
      <c r="V862" s="250">
        <v>165533</v>
      </c>
      <c r="W862" s="250">
        <v>165533</v>
      </c>
      <c r="X862" s="250">
        <v>165533</v>
      </c>
      <c r="Y862" s="293">
        <v>156000</v>
      </c>
      <c r="Z862" s="294"/>
      <c r="AA862" s="251"/>
      <c r="AB862" s="251"/>
    </row>
    <row r="863" spans="1:28" s="295" customFormat="1" ht="47.25">
      <c r="A863" s="284">
        <v>696</v>
      </c>
      <c r="B863" s="284">
        <v>0</v>
      </c>
      <c r="C863" s="284" t="s">
        <v>1519</v>
      </c>
      <c r="D863" s="284" t="s">
        <v>1136</v>
      </c>
      <c r="E863" s="285" t="s">
        <v>11</v>
      </c>
      <c r="F863" s="286" t="s">
        <v>1520</v>
      </c>
      <c r="G863" s="284">
        <v>180</v>
      </c>
      <c r="H863" s="284">
        <v>14</v>
      </c>
      <c r="I863" s="284">
        <v>0.95</v>
      </c>
      <c r="J863" s="287">
        <f t="shared" si="186"/>
        <v>432250.00000000006</v>
      </c>
      <c r="K863" s="301">
        <v>1.5</v>
      </c>
      <c r="L863" s="289">
        <f t="shared" si="187"/>
        <v>48750</v>
      </c>
      <c r="M863" s="301">
        <v>4</v>
      </c>
      <c r="N863" s="289">
        <f t="shared" si="188"/>
        <v>130000</v>
      </c>
      <c r="O863" s="302"/>
      <c r="P863" s="272"/>
      <c r="Q863" s="288"/>
      <c r="R863" s="300">
        <f t="shared" si="189"/>
        <v>0</v>
      </c>
      <c r="S863" s="284"/>
      <c r="T863" s="296"/>
      <c r="U863" s="250">
        <f t="shared" si="190"/>
        <v>611000</v>
      </c>
      <c r="V863" s="250">
        <v>611000</v>
      </c>
      <c r="W863" s="250">
        <v>611000</v>
      </c>
      <c r="X863" s="250">
        <v>611000</v>
      </c>
      <c r="Y863" s="293">
        <v>585000</v>
      </c>
      <c r="Z863" s="294"/>
      <c r="AA863" s="251"/>
      <c r="AB863" s="251"/>
    </row>
    <row r="864" spans="1:28" s="295" customFormat="1" ht="31.5">
      <c r="A864" s="284">
        <v>697</v>
      </c>
      <c r="B864" s="284">
        <v>0</v>
      </c>
      <c r="C864" s="284" t="s">
        <v>1521</v>
      </c>
      <c r="D864" s="284" t="s">
        <v>3665</v>
      </c>
      <c r="E864" s="285" t="s">
        <v>1522</v>
      </c>
      <c r="F864" s="286" t="s">
        <v>1522</v>
      </c>
      <c r="G864" s="284">
        <v>180</v>
      </c>
      <c r="H864" s="284">
        <v>14</v>
      </c>
      <c r="I864" s="284">
        <v>0.95</v>
      </c>
      <c r="J864" s="287">
        <f t="shared" si="186"/>
        <v>403433.3333333333</v>
      </c>
      <c r="K864" s="301">
        <v>2.5</v>
      </c>
      <c r="L864" s="289">
        <f t="shared" si="187"/>
        <v>75833.33333333333</v>
      </c>
      <c r="M864" s="301">
        <v>4</v>
      </c>
      <c r="N864" s="289">
        <f t="shared" si="188"/>
        <v>121333.33333333333</v>
      </c>
      <c r="O864" s="302">
        <v>34</v>
      </c>
      <c r="P864" s="272" t="s">
        <v>1590</v>
      </c>
      <c r="Q864" s="288">
        <v>1.05</v>
      </c>
      <c r="R864" s="289">
        <f>O864*diezel*Q864</f>
        <v>684790.974</v>
      </c>
      <c r="S864" s="292" t="s">
        <v>372</v>
      </c>
      <c r="T864" s="296">
        <f>'Nhan cong'!M94</f>
        <v>183120</v>
      </c>
      <c r="U864" s="250">
        <f t="shared" si="190"/>
        <v>1468511</v>
      </c>
      <c r="V864" s="250">
        <v>1494671</v>
      </c>
      <c r="W864" s="250">
        <v>1468511</v>
      </c>
      <c r="X864" s="250">
        <v>1430143</v>
      </c>
      <c r="Y864" s="293">
        <v>546000</v>
      </c>
      <c r="Z864" s="294"/>
      <c r="AA864" s="251"/>
      <c r="AB864" s="251"/>
    </row>
    <row r="865" spans="1:28" s="295" customFormat="1" ht="15.75">
      <c r="A865" s="297"/>
      <c r="B865" s="284"/>
      <c r="C865" s="298"/>
      <c r="D865" s="284"/>
      <c r="E865" s="272"/>
      <c r="F865" s="149" t="s">
        <v>1523</v>
      </c>
      <c r="G865" s="284"/>
      <c r="H865" s="284"/>
      <c r="I865" s="284"/>
      <c r="J865" s="299"/>
      <c r="K865" s="301"/>
      <c r="L865" s="289"/>
      <c r="M865" s="301"/>
      <c r="N865" s="300"/>
      <c r="O865" s="302"/>
      <c r="P865" s="272"/>
      <c r="Q865" s="288"/>
      <c r="R865" s="300"/>
      <c r="S865" s="284"/>
      <c r="T865" s="296"/>
      <c r="U865" s="250"/>
      <c r="V865" s="250"/>
      <c r="W865" s="250"/>
      <c r="X865" s="250"/>
      <c r="Y865" s="293"/>
      <c r="Z865" s="385"/>
      <c r="AA865" s="251"/>
      <c r="AB865" s="251"/>
    </row>
    <row r="866" spans="1:28" s="295" customFormat="1" ht="15.75">
      <c r="A866" s="284">
        <v>698</v>
      </c>
      <c r="B866" s="284">
        <v>0</v>
      </c>
      <c r="C866" s="284" t="s">
        <v>1524</v>
      </c>
      <c r="D866" s="284" t="s">
        <v>3666</v>
      </c>
      <c r="E866" s="285" t="s">
        <v>1525</v>
      </c>
      <c r="F866" s="286" t="s">
        <v>1525</v>
      </c>
      <c r="G866" s="284">
        <v>180</v>
      </c>
      <c r="H866" s="284">
        <v>14</v>
      </c>
      <c r="I866" s="284">
        <v>1</v>
      </c>
      <c r="J866" s="287">
        <f>Y866*H866%*I866/G866*1000</f>
        <v>777.7777777777778</v>
      </c>
      <c r="K866" s="301">
        <v>2</v>
      </c>
      <c r="L866" s="289">
        <f>(Y866*K866%)/G866*1000</f>
        <v>111.1111111111111</v>
      </c>
      <c r="M866" s="301">
        <v>4</v>
      </c>
      <c r="N866" s="289">
        <f>(Y866*M866%)/G866*1000</f>
        <v>222.2222222222222</v>
      </c>
      <c r="O866" s="302"/>
      <c r="P866" s="272"/>
      <c r="Q866" s="288"/>
      <c r="R866" s="300">
        <f>+(O866*$AA$2)*(1+$AA$3)</f>
        <v>0</v>
      </c>
      <c r="S866" s="284"/>
      <c r="T866" s="296"/>
      <c r="U866" s="250">
        <f>ROUND((J866+L866+N866+R866+T866),0)</f>
        <v>1111</v>
      </c>
      <c r="V866" s="250">
        <v>1111</v>
      </c>
      <c r="W866" s="250">
        <v>1111</v>
      </c>
      <c r="X866" s="250">
        <v>1111</v>
      </c>
      <c r="Y866" s="293">
        <v>1000</v>
      </c>
      <c r="Z866" s="294"/>
      <c r="AA866" s="251"/>
      <c r="AB866" s="251"/>
    </row>
    <row r="867" spans="1:28" s="295" customFormat="1" ht="15.75">
      <c r="A867" s="284">
        <v>699</v>
      </c>
      <c r="B867" s="284" t="s">
        <v>756</v>
      </c>
      <c r="C867" s="284" t="s">
        <v>1526</v>
      </c>
      <c r="D867" s="284" t="s">
        <v>3667</v>
      </c>
      <c r="E867" s="285" t="s">
        <v>1527</v>
      </c>
      <c r="F867" s="286" t="s">
        <v>1527</v>
      </c>
      <c r="G867" s="284">
        <v>200</v>
      </c>
      <c r="H867" s="284">
        <v>14</v>
      </c>
      <c r="I867" s="284">
        <v>1</v>
      </c>
      <c r="J867" s="287">
        <f>Y867*H867%*I867/G867*1000</f>
        <v>5460</v>
      </c>
      <c r="K867" s="301">
        <v>1.8</v>
      </c>
      <c r="L867" s="289">
        <f>(Y867*K867%)/G867*1000</f>
        <v>702.0000000000001</v>
      </c>
      <c r="M867" s="301">
        <v>4</v>
      </c>
      <c r="N867" s="289">
        <f>(Y867*M867%)/G867*1000</f>
        <v>1560</v>
      </c>
      <c r="O867" s="302"/>
      <c r="P867" s="272"/>
      <c r="Q867" s="288"/>
      <c r="R867" s="300">
        <f>+(O867*$AA$2)*(1+$AA$3)</f>
        <v>0</v>
      </c>
      <c r="S867" s="284"/>
      <c r="T867" s="296"/>
      <c r="U867" s="250">
        <f>ROUND((J867+L867+N867+R867+T867),0)</f>
        <v>7722</v>
      </c>
      <c r="V867" s="250">
        <v>7722</v>
      </c>
      <c r="W867" s="250">
        <v>7722</v>
      </c>
      <c r="X867" s="250">
        <v>7722</v>
      </c>
      <c r="Y867" s="293">
        <v>7800</v>
      </c>
      <c r="Z867" s="294"/>
      <c r="AA867" s="251"/>
      <c r="AB867" s="251"/>
    </row>
    <row r="868" spans="1:28" s="295" customFormat="1" ht="31.5">
      <c r="A868" s="284">
        <v>700</v>
      </c>
      <c r="B868" s="284">
        <v>0</v>
      </c>
      <c r="C868" s="284" t="s">
        <v>1528</v>
      </c>
      <c r="D868" s="284" t="s">
        <v>3668</v>
      </c>
      <c r="E868" s="285" t="s">
        <v>1529</v>
      </c>
      <c r="F868" s="286" t="s">
        <v>1529</v>
      </c>
      <c r="G868" s="284">
        <v>200</v>
      </c>
      <c r="H868" s="284">
        <v>14</v>
      </c>
      <c r="I868" s="284">
        <v>0.95</v>
      </c>
      <c r="J868" s="287">
        <f>Y868*H868%*I868/G868*1000</f>
        <v>1868650.0000000002</v>
      </c>
      <c r="K868" s="301">
        <v>1.2</v>
      </c>
      <c r="L868" s="289">
        <f>(Y868*K868%)/G868*1000</f>
        <v>168600</v>
      </c>
      <c r="M868" s="301">
        <v>4</v>
      </c>
      <c r="N868" s="289">
        <f>(Y868*M868%)/G868*1000</f>
        <v>562000</v>
      </c>
      <c r="O868" s="302"/>
      <c r="P868" s="272"/>
      <c r="Q868" s="288"/>
      <c r="R868" s="300">
        <f>+(O868*$AA$2)*(1+$AA$3)</f>
        <v>0</v>
      </c>
      <c r="S868" s="284"/>
      <c r="T868" s="296"/>
      <c r="U868" s="250">
        <f>ROUND((J868+L868+N868+R868+T868),0)</f>
        <v>2599250</v>
      </c>
      <c r="V868" s="250">
        <v>2599250</v>
      </c>
      <c r="W868" s="250">
        <v>2599250</v>
      </c>
      <c r="X868" s="250">
        <v>2599250</v>
      </c>
      <c r="Y868" s="293">
        <v>2810000</v>
      </c>
      <c r="Z868" s="294"/>
      <c r="AA868" s="251"/>
      <c r="AB868" s="251"/>
    </row>
    <row r="869" spans="1:28" s="295" customFormat="1" ht="15.75">
      <c r="A869" s="284">
        <v>701</v>
      </c>
      <c r="B869" s="284" t="s">
        <v>758</v>
      </c>
      <c r="C869" s="284" t="s">
        <v>1530</v>
      </c>
      <c r="D869" s="284" t="s">
        <v>3669</v>
      </c>
      <c r="E869" s="285" t="s">
        <v>1531</v>
      </c>
      <c r="F869" s="286" t="s">
        <v>1531</v>
      </c>
      <c r="G869" s="284">
        <v>150</v>
      </c>
      <c r="H869" s="284">
        <v>14</v>
      </c>
      <c r="I869" s="284">
        <v>1</v>
      </c>
      <c r="J869" s="287">
        <f>Y869*H869%*I869/G869*1000</f>
        <v>5133.333333333334</v>
      </c>
      <c r="K869" s="301">
        <v>2</v>
      </c>
      <c r="L869" s="289">
        <f>(Y869*K869%)/G869*1000</f>
        <v>733.3333333333333</v>
      </c>
      <c r="M869" s="301">
        <v>4</v>
      </c>
      <c r="N869" s="289">
        <f>(Y869*M869%)/G869*1000</f>
        <v>1466.6666666666665</v>
      </c>
      <c r="O869" s="302"/>
      <c r="P869" s="272"/>
      <c r="Q869" s="288"/>
      <c r="R869" s="300">
        <f>+(O869*$AA$2)*(1+$AA$3)</f>
        <v>0</v>
      </c>
      <c r="S869" s="284"/>
      <c r="T869" s="296"/>
      <c r="U869" s="250">
        <f>ROUND((J869+L869+N869+R869+T869),0)</f>
        <v>7333</v>
      </c>
      <c r="V869" s="250">
        <v>7333</v>
      </c>
      <c r="W869" s="250">
        <v>7333</v>
      </c>
      <c r="X869" s="250">
        <v>7333</v>
      </c>
      <c r="Y869" s="293">
        <v>5500</v>
      </c>
      <c r="Z869" s="294"/>
      <c r="AA869" s="251"/>
      <c r="AB869" s="251"/>
    </row>
    <row r="870" spans="1:28" s="295" customFormat="1" ht="15.75">
      <c r="A870" s="297"/>
      <c r="B870" s="284"/>
      <c r="C870" s="298"/>
      <c r="D870" s="284"/>
      <c r="E870" s="272"/>
      <c r="F870" s="149" t="s">
        <v>1532</v>
      </c>
      <c r="G870" s="284"/>
      <c r="H870" s="284"/>
      <c r="I870" s="284"/>
      <c r="J870" s="299"/>
      <c r="K870" s="301"/>
      <c r="L870" s="289"/>
      <c r="M870" s="301"/>
      <c r="N870" s="300"/>
      <c r="O870" s="302"/>
      <c r="P870" s="272"/>
      <c r="Q870" s="288"/>
      <c r="R870" s="300"/>
      <c r="S870" s="284"/>
      <c r="T870" s="296"/>
      <c r="U870" s="250"/>
      <c r="V870" s="250"/>
      <c r="W870" s="250"/>
      <c r="X870" s="250"/>
      <c r="Y870" s="293"/>
      <c r="Z870" s="385"/>
      <c r="AA870" s="251"/>
      <c r="AB870" s="251"/>
    </row>
    <row r="871" spans="1:28" s="295" customFormat="1" ht="15.75">
      <c r="A871" s="297">
        <v>702</v>
      </c>
      <c r="B871" s="284" t="s">
        <v>747</v>
      </c>
      <c r="C871" s="298" t="s">
        <v>1533</v>
      </c>
      <c r="D871" s="284" t="s">
        <v>2259</v>
      </c>
      <c r="E871" s="285" t="s">
        <v>1534</v>
      </c>
      <c r="F871" s="286" t="s">
        <v>1534</v>
      </c>
      <c r="G871" s="284">
        <v>180</v>
      </c>
      <c r="H871" s="284">
        <v>14</v>
      </c>
      <c r="I871" s="284">
        <v>0.95</v>
      </c>
      <c r="J871" s="287">
        <f>Y871*H871%*I871/G871*1000</f>
        <v>13447.777777777781</v>
      </c>
      <c r="K871" s="301">
        <v>2.8</v>
      </c>
      <c r="L871" s="289">
        <f>(Y871*K871%)/G871*1000</f>
        <v>2831.111111111111</v>
      </c>
      <c r="M871" s="301">
        <v>4</v>
      </c>
      <c r="N871" s="289">
        <f>(Y871*M871%)/G871*1000</f>
        <v>4044.4444444444443</v>
      </c>
      <c r="O871" s="302"/>
      <c r="P871" s="272"/>
      <c r="Q871" s="288"/>
      <c r="R871" s="300">
        <f>+(O871*$AA$2)*(1+$AA$3)</f>
        <v>0</v>
      </c>
      <c r="S871" s="284"/>
      <c r="T871" s="296"/>
      <c r="U871" s="250">
        <f>ROUND((J871+L871+N871+R871+T871),0)</f>
        <v>20323</v>
      </c>
      <c r="V871" s="250">
        <v>20323</v>
      </c>
      <c r="W871" s="250">
        <v>20323</v>
      </c>
      <c r="X871" s="250">
        <v>20323</v>
      </c>
      <c r="Y871" s="293">
        <v>18200</v>
      </c>
      <c r="Z871" s="294"/>
      <c r="AA871" s="251"/>
      <c r="AB871" s="251"/>
    </row>
    <row r="872" spans="1:28" s="295" customFormat="1" ht="31.5">
      <c r="A872" s="297">
        <v>703</v>
      </c>
      <c r="B872" s="284">
        <v>0</v>
      </c>
      <c r="C872" s="298" t="s">
        <v>1535</v>
      </c>
      <c r="D872" s="284" t="s">
        <v>3670</v>
      </c>
      <c r="E872" s="285" t="s">
        <v>1536</v>
      </c>
      <c r="F872" s="286" t="s">
        <v>1536</v>
      </c>
      <c r="G872" s="284">
        <v>180</v>
      </c>
      <c r="H872" s="284">
        <v>14</v>
      </c>
      <c r="I872" s="284">
        <v>0.95</v>
      </c>
      <c r="J872" s="287">
        <f>Y872*H872%*I872/G872*1000</f>
        <v>91843.88888888888</v>
      </c>
      <c r="K872" s="301">
        <v>2.2</v>
      </c>
      <c r="L872" s="289">
        <f>(Y872*K872%)/G872*1000</f>
        <v>15192.222222222224</v>
      </c>
      <c r="M872" s="301">
        <v>4</v>
      </c>
      <c r="N872" s="289">
        <f>(Y872*M872%)/G872*1000</f>
        <v>27622.222222222223</v>
      </c>
      <c r="O872" s="302"/>
      <c r="P872" s="272"/>
      <c r="Q872" s="288"/>
      <c r="R872" s="300">
        <f>+(O872*$AA$2)*(1+$AA$3)</f>
        <v>0</v>
      </c>
      <c r="S872" s="284"/>
      <c r="T872" s="296"/>
      <c r="U872" s="250">
        <f>ROUND((J872+L872+N872+R872+T872),0)</f>
        <v>134658</v>
      </c>
      <c r="V872" s="250">
        <v>134658</v>
      </c>
      <c r="W872" s="250">
        <v>134658</v>
      </c>
      <c r="X872" s="250">
        <v>134658</v>
      </c>
      <c r="Y872" s="293">
        <v>124300</v>
      </c>
      <c r="Z872" s="294"/>
      <c r="AA872" s="251"/>
      <c r="AB872" s="251"/>
    </row>
    <row r="873" spans="1:28" s="295" customFormat="1" ht="15.75">
      <c r="A873" s="297">
        <v>704</v>
      </c>
      <c r="B873" s="284">
        <v>0</v>
      </c>
      <c r="C873" s="298" t="s">
        <v>1537</v>
      </c>
      <c r="D873" s="284" t="s">
        <v>3671</v>
      </c>
      <c r="E873" s="285" t="s">
        <v>1538</v>
      </c>
      <c r="F873" s="286" t="s">
        <v>1538</v>
      </c>
      <c r="G873" s="284">
        <v>180</v>
      </c>
      <c r="H873" s="284">
        <v>14</v>
      </c>
      <c r="I873" s="284">
        <v>0.95</v>
      </c>
      <c r="J873" s="287">
        <f>Y873*H873%*I873/G873*1000</f>
        <v>257428.88888888893</v>
      </c>
      <c r="K873" s="301">
        <v>1.8</v>
      </c>
      <c r="L873" s="289">
        <f>(Y873*K873%)/G873*1000</f>
        <v>34840</v>
      </c>
      <c r="M873" s="301">
        <v>4</v>
      </c>
      <c r="N873" s="289">
        <f>(Y873*M873%)/G873*1000</f>
        <v>77422.22222222222</v>
      </c>
      <c r="O873" s="302"/>
      <c r="P873" s="272"/>
      <c r="Q873" s="288"/>
      <c r="R873" s="300">
        <f>+(O873*$AA$2)*(1+$AA$3)</f>
        <v>0</v>
      </c>
      <c r="S873" s="284"/>
      <c r="T873" s="296"/>
      <c r="U873" s="250">
        <f>ROUND((J873+L873+N873+R873+T873),0)</f>
        <v>369691</v>
      </c>
      <c r="V873" s="250">
        <v>369691</v>
      </c>
      <c r="W873" s="250">
        <v>369691</v>
      </c>
      <c r="X873" s="250">
        <v>369691</v>
      </c>
      <c r="Y873" s="293">
        <v>348400</v>
      </c>
      <c r="Z873" s="294"/>
      <c r="AA873" s="251"/>
      <c r="AB873" s="251"/>
    </row>
    <row r="874" spans="1:28" s="295" customFormat="1" ht="15.75">
      <c r="A874" s="284">
        <v>705</v>
      </c>
      <c r="B874" s="284">
        <v>0</v>
      </c>
      <c r="C874" s="284" t="s">
        <v>1539</v>
      </c>
      <c r="D874" s="284" t="s">
        <v>3672</v>
      </c>
      <c r="E874" s="285" t="s">
        <v>1540</v>
      </c>
      <c r="F874" s="286" t="s">
        <v>1540</v>
      </c>
      <c r="G874" s="284">
        <v>180</v>
      </c>
      <c r="H874" s="284">
        <v>14</v>
      </c>
      <c r="I874" s="284">
        <v>0.95</v>
      </c>
      <c r="J874" s="287">
        <f>Y874*H874%*I874/G874*1000</f>
        <v>1325566.6666666667</v>
      </c>
      <c r="K874" s="301">
        <v>1.4</v>
      </c>
      <c r="L874" s="289">
        <f>(Y874*K874%)/G874*1000</f>
        <v>139533.3333333333</v>
      </c>
      <c r="M874" s="301">
        <v>4</v>
      </c>
      <c r="N874" s="289">
        <f>(Y874*M874%)/G874*1000</f>
        <v>398666.6666666667</v>
      </c>
      <c r="O874" s="302"/>
      <c r="P874" s="272"/>
      <c r="Q874" s="288"/>
      <c r="R874" s="300">
        <f>+(O874*$AA$2)*(1+$AA$3)</f>
        <v>0</v>
      </c>
      <c r="S874" s="284"/>
      <c r="T874" s="296"/>
      <c r="U874" s="250">
        <f>ROUND((J874+L874+N874+R874+T874),0)</f>
        <v>1863767</v>
      </c>
      <c r="V874" s="250">
        <v>1863767</v>
      </c>
      <c r="W874" s="250">
        <v>1863767</v>
      </c>
      <c r="X874" s="250">
        <v>1863767</v>
      </c>
      <c r="Y874" s="293">
        <v>1794000</v>
      </c>
      <c r="Z874" s="294"/>
      <c r="AA874" s="251"/>
      <c r="AB874" s="251"/>
    </row>
    <row r="875" spans="1:28" s="295" customFormat="1" ht="31.5">
      <c r="A875" s="284">
        <v>706</v>
      </c>
      <c r="B875" s="284" t="s">
        <v>779</v>
      </c>
      <c r="C875" s="284" t="s">
        <v>1541</v>
      </c>
      <c r="D875" s="284" t="s">
        <v>3662</v>
      </c>
      <c r="E875" s="285" t="s">
        <v>8</v>
      </c>
      <c r="F875" s="286" t="s">
        <v>1542</v>
      </c>
      <c r="G875" s="284">
        <v>180</v>
      </c>
      <c r="H875" s="284">
        <v>14</v>
      </c>
      <c r="I875" s="284">
        <v>0.95</v>
      </c>
      <c r="J875" s="287">
        <f>Y875*H875%*I875/G875*1000</f>
        <v>59554.44444444445</v>
      </c>
      <c r="K875" s="301">
        <v>3</v>
      </c>
      <c r="L875" s="289">
        <f>(Y875*K875%)/G875*1000</f>
        <v>13433.333333333334</v>
      </c>
      <c r="M875" s="301">
        <v>4</v>
      </c>
      <c r="N875" s="289">
        <f>(Y875*M875%)/G875*1000</f>
        <v>17911.111111111113</v>
      </c>
      <c r="O875" s="302"/>
      <c r="P875" s="272"/>
      <c r="Q875" s="288"/>
      <c r="R875" s="300">
        <f>+(O875*$AA$2)*(1+$AA$3)</f>
        <v>0</v>
      </c>
      <c r="S875" s="284"/>
      <c r="T875" s="296"/>
      <c r="U875" s="250">
        <f>ROUND((J875+L875+N875+R875+T875),0)</f>
        <v>90899</v>
      </c>
      <c r="V875" s="250">
        <v>90899</v>
      </c>
      <c r="W875" s="250">
        <v>90899</v>
      </c>
      <c r="X875" s="250">
        <v>90899</v>
      </c>
      <c r="Y875" s="293">
        <v>80600</v>
      </c>
      <c r="Z875" s="294"/>
      <c r="AA875" s="251"/>
      <c r="AB875" s="251"/>
    </row>
    <row r="876" spans="1:28" s="295" customFormat="1" ht="15.75">
      <c r="A876" s="297"/>
      <c r="B876" s="284"/>
      <c r="C876" s="298"/>
      <c r="D876" s="284"/>
      <c r="E876" s="272"/>
      <c r="F876" s="149" t="s">
        <v>1543</v>
      </c>
      <c r="G876" s="284"/>
      <c r="H876" s="284"/>
      <c r="I876" s="284"/>
      <c r="J876" s="299"/>
      <c r="K876" s="301"/>
      <c r="L876" s="289"/>
      <c r="M876" s="301"/>
      <c r="N876" s="300"/>
      <c r="O876" s="302"/>
      <c r="P876" s="272"/>
      <c r="Q876" s="288"/>
      <c r="R876" s="300"/>
      <c r="S876" s="284"/>
      <c r="T876" s="296"/>
      <c r="U876" s="250"/>
      <c r="V876" s="250"/>
      <c r="W876" s="250"/>
      <c r="X876" s="250"/>
      <c r="Y876" s="293"/>
      <c r="Z876" s="385"/>
      <c r="AA876" s="251"/>
      <c r="AB876" s="251"/>
    </row>
    <row r="877" spans="1:28" s="295" customFormat="1" ht="31.5">
      <c r="A877" s="284">
        <v>707</v>
      </c>
      <c r="B877" s="284" t="s">
        <v>789</v>
      </c>
      <c r="C877" s="284" t="s">
        <v>1544</v>
      </c>
      <c r="D877" s="284" t="s">
        <v>3673</v>
      </c>
      <c r="E877" s="285" t="s">
        <v>12</v>
      </c>
      <c r="F877" s="286" t="s">
        <v>1545</v>
      </c>
      <c r="G877" s="284">
        <v>180</v>
      </c>
      <c r="H877" s="284">
        <v>14</v>
      </c>
      <c r="I877" s="284">
        <v>0.95</v>
      </c>
      <c r="J877" s="287">
        <f>Y877*H877%*I877/G877*1000</f>
        <v>224770.00000000003</v>
      </c>
      <c r="K877" s="301">
        <v>2.2</v>
      </c>
      <c r="L877" s="289">
        <f>(Y877*K877%)/G877*1000</f>
        <v>37180</v>
      </c>
      <c r="M877" s="301">
        <v>4</v>
      </c>
      <c r="N877" s="289">
        <f>(Y877*M877%)/G877*1000</f>
        <v>67600</v>
      </c>
      <c r="O877" s="302">
        <v>1.1</v>
      </c>
      <c r="P877" s="272" t="s">
        <v>433</v>
      </c>
      <c r="Q877" s="288">
        <v>1.07</v>
      </c>
      <c r="R877" s="289">
        <f>O877*dien*Q877</f>
        <v>1340.603</v>
      </c>
      <c r="S877" s="284"/>
      <c r="T877" s="296"/>
      <c r="U877" s="250">
        <f>ROUND((J877+L877+N877+R877+T877),0)</f>
        <v>330891</v>
      </c>
      <c r="V877" s="250">
        <v>330891</v>
      </c>
      <c r="W877" s="250">
        <v>330891</v>
      </c>
      <c r="X877" s="250">
        <v>330891</v>
      </c>
      <c r="Y877" s="293">
        <v>304200</v>
      </c>
      <c r="Z877" s="294"/>
      <c r="AA877" s="251"/>
      <c r="AB877" s="251"/>
    </row>
    <row r="878" spans="1:28" s="295" customFormat="1" ht="31.5">
      <c r="A878" s="284">
        <v>708</v>
      </c>
      <c r="B878" s="284">
        <v>0</v>
      </c>
      <c r="C878" s="284" t="s">
        <v>1546</v>
      </c>
      <c r="D878" s="284" t="s">
        <v>1132</v>
      </c>
      <c r="E878" s="285" t="s">
        <v>1547</v>
      </c>
      <c r="F878" s="286" t="s">
        <v>1547</v>
      </c>
      <c r="G878" s="284">
        <v>180</v>
      </c>
      <c r="H878" s="284">
        <v>14</v>
      </c>
      <c r="I878" s="284">
        <v>0.95</v>
      </c>
      <c r="J878" s="287">
        <f>Y878*H878%*I878/G878*1000</f>
        <v>883711.1111111112</v>
      </c>
      <c r="K878" s="301">
        <v>1.4</v>
      </c>
      <c r="L878" s="289">
        <f>(Y878*K878%)/G878*1000</f>
        <v>93022.22222222222</v>
      </c>
      <c r="M878" s="301">
        <v>4</v>
      </c>
      <c r="N878" s="289">
        <f>(Y878*M878%)/G878*1000</f>
        <v>265777.77777777775</v>
      </c>
      <c r="O878" s="302">
        <v>1.6</v>
      </c>
      <c r="P878" s="272" t="s">
        <v>433</v>
      </c>
      <c r="Q878" s="288">
        <v>1.07</v>
      </c>
      <c r="R878" s="289">
        <f>O878*dien*Q878</f>
        <v>1949.9680000000003</v>
      </c>
      <c r="S878" s="284"/>
      <c r="T878" s="296"/>
      <c r="U878" s="250">
        <f>ROUND((J878+L878+N878+R878+T878),0)</f>
        <v>1244461</v>
      </c>
      <c r="V878" s="250">
        <v>1244461</v>
      </c>
      <c r="W878" s="250">
        <v>1244461</v>
      </c>
      <c r="X878" s="250">
        <v>1244461</v>
      </c>
      <c r="Y878" s="293">
        <v>1196000</v>
      </c>
      <c r="Z878" s="294"/>
      <c r="AA878" s="251"/>
      <c r="AB878" s="251"/>
    </row>
    <row r="879" spans="1:28" s="295" customFormat="1" ht="15.75">
      <c r="A879" s="284">
        <v>709</v>
      </c>
      <c r="B879" s="284" t="s">
        <v>790</v>
      </c>
      <c r="C879" s="284" t="s">
        <v>1548</v>
      </c>
      <c r="D879" s="284" t="s">
        <v>3674</v>
      </c>
      <c r="E879" s="285" t="s">
        <v>13</v>
      </c>
      <c r="F879" s="286" t="s">
        <v>1549</v>
      </c>
      <c r="G879" s="284">
        <v>180</v>
      </c>
      <c r="H879" s="284">
        <v>14</v>
      </c>
      <c r="I879" s="284">
        <v>0.95</v>
      </c>
      <c r="J879" s="287">
        <f>Y879*H879%*I879/G879*1000</f>
        <v>369813.8888888889</v>
      </c>
      <c r="K879" s="301">
        <v>2</v>
      </c>
      <c r="L879" s="289">
        <f>(Y879*K879%)/G879*1000</f>
        <v>55611.11111111112</v>
      </c>
      <c r="M879" s="301">
        <v>4</v>
      </c>
      <c r="N879" s="289">
        <f>(Y879*M879%)/G879*1000</f>
        <v>111222.22222222223</v>
      </c>
      <c r="O879" s="302">
        <v>1.1</v>
      </c>
      <c r="P879" s="272" t="s">
        <v>433</v>
      </c>
      <c r="Q879" s="288">
        <v>1.07</v>
      </c>
      <c r="R879" s="289">
        <f>O879*dien*Q879</f>
        <v>1340.603</v>
      </c>
      <c r="S879" s="284"/>
      <c r="T879" s="296"/>
      <c r="U879" s="250">
        <f>ROUND((J879+L879+N879+R879+T879),0)</f>
        <v>537988</v>
      </c>
      <c r="V879" s="250">
        <v>537988</v>
      </c>
      <c r="W879" s="250">
        <v>537988</v>
      </c>
      <c r="X879" s="250">
        <v>537988</v>
      </c>
      <c r="Y879" s="293">
        <v>500500</v>
      </c>
      <c r="Z879" s="294"/>
      <c r="AA879" s="251"/>
      <c r="AB879" s="251"/>
    </row>
    <row r="880" spans="1:28" s="295" customFormat="1" ht="15.75">
      <c r="A880" s="297"/>
      <c r="B880" s="284"/>
      <c r="C880" s="298"/>
      <c r="D880" s="284"/>
      <c r="E880" s="272"/>
      <c r="F880" s="149" t="s">
        <v>1550</v>
      </c>
      <c r="G880" s="284"/>
      <c r="H880" s="284"/>
      <c r="I880" s="284"/>
      <c r="J880" s="299"/>
      <c r="K880" s="301"/>
      <c r="L880" s="289"/>
      <c r="M880" s="301"/>
      <c r="N880" s="300"/>
      <c r="O880" s="302"/>
      <c r="P880" s="272"/>
      <c r="Q880" s="288"/>
      <c r="R880" s="300"/>
      <c r="S880" s="284"/>
      <c r="T880" s="296"/>
      <c r="U880" s="250"/>
      <c r="V880" s="250"/>
      <c r="W880" s="250"/>
      <c r="X880" s="250"/>
      <c r="Y880" s="293"/>
      <c r="Z880" s="385"/>
      <c r="AA880" s="251"/>
      <c r="AB880" s="251"/>
    </row>
    <row r="881" spans="1:28" s="295" customFormat="1" ht="31.5">
      <c r="A881" s="284">
        <v>710</v>
      </c>
      <c r="B881" s="284">
        <v>0</v>
      </c>
      <c r="C881" s="284" t="s">
        <v>1551</v>
      </c>
      <c r="D881" s="284" t="s">
        <v>3675</v>
      </c>
      <c r="E881" s="285" t="s">
        <v>14</v>
      </c>
      <c r="F881" s="286" t="s">
        <v>1552</v>
      </c>
      <c r="G881" s="284">
        <v>150</v>
      </c>
      <c r="H881" s="284">
        <v>14</v>
      </c>
      <c r="I881" s="284">
        <v>0.95</v>
      </c>
      <c r="J881" s="287">
        <f>Y881*H881%*I881/G881*1000</f>
        <v>75632.66666666669</v>
      </c>
      <c r="K881" s="301">
        <v>2.2</v>
      </c>
      <c r="L881" s="289">
        <f>(Y881*K881%)/G881*1000</f>
        <v>12510.666666666668</v>
      </c>
      <c r="M881" s="301">
        <v>4</v>
      </c>
      <c r="N881" s="289">
        <f>(Y881*M881%)/G881*1000</f>
        <v>22746.666666666668</v>
      </c>
      <c r="O881" s="302"/>
      <c r="P881" s="272"/>
      <c r="Q881" s="288"/>
      <c r="R881" s="300">
        <f>+(O881*$AA$2)*(1+$AA$3)</f>
        <v>0</v>
      </c>
      <c r="S881" s="284"/>
      <c r="T881" s="296"/>
      <c r="U881" s="250">
        <f>ROUND((J881+L881+N881+R881+T881),0)</f>
        <v>110890</v>
      </c>
      <c r="V881" s="250">
        <v>110890</v>
      </c>
      <c r="W881" s="250">
        <v>110890</v>
      </c>
      <c r="X881" s="250">
        <v>110890</v>
      </c>
      <c r="Y881" s="293">
        <v>85300</v>
      </c>
      <c r="Z881" s="294"/>
      <c r="AA881" s="251"/>
      <c r="AB881" s="251"/>
    </row>
    <row r="882" spans="1:28" s="295" customFormat="1" ht="31.5">
      <c r="A882" s="284">
        <v>711</v>
      </c>
      <c r="B882" s="284">
        <v>0</v>
      </c>
      <c r="C882" s="284" t="s">
        <v>1553</v>
      </c>
      <c r="D882" s="284" t="s">
        <v>3676</v>
      </c>
      <c r="E882" s="285" t="s">
        <v>3133</v>
      </c>
      <c r="F882" s="286" t="s">
        <v>1554</v>
      </c>
      <c r="G882" s="284">
        <v>150</v>
      </c>
      <c r="H882" s="284">
        <v>14</v>
      </c>
      <c r="I882" s="284">
        <v>0.95</v>
      </c>
      <c r="J882" s="287">
        <f>Y882*H882%*I882/G882*1000</f>
        <v>225922.6666666667</v>
      </c>
      <c r="K882" s="301">
        <v>2</v>
      </c>
      <c r="L882" s="289">
        <f>(Y882*K882%)/G882*1000</f>
        <v>33973.333333333336</v>
      </c>
      <c r="M882" s="301">
        <v>4</v>
      </c>
      <c r="N882" s="289">
        <f>(Y882*M882%)/G882*1000</f>
        <v>67946.66666666667</v>
      </c>
      <c r="O882" s="302"/>
      <c r="P882" s="272"/>
      <c r="Q882" s="288"/>
      <c r="R882" s="300">
        <f>+(O882*$AA$2)*(1+$AA$3)</f>
        <v>0</v>
      </c>
      <c r="S882" s="284"/>
      <c r="T882" s="296"/>
      <c r="U882" s="250">
        <f>ROUND((J882+L882+N882+R882+T882),0)</f>
        <v>327843</v>
      </c>
      <c r="V882" s="250">
        <v>327843</v>
      </c>
      <c r="W882" s="250">
        <v>327843</v>
      </c>
      <c r="X882" s="250">
        <v>327843</v>
      </c>
      <c r="Y882" s="293">
        <v>254800</v>
      </c>
      <c r="Z882" s="294"/>
      <c r="AA882" s="251"/>
      <c r="AB882" s="251"/>
    </row>
    <row r="883" spans="1:28" s="295" customFormat="1" ht="31.5">
      <c r="A883" s="284">
        <v>712</v>
      </c>
      <c r="B883" s="284" t="s">
        <v>768</v>
      </c>
      <c r="C883" s="284" t="s">
        <v>1555</v>
      </c>
      <c r="D883" s="284" t="s">
        <v>3675</v>
      </c>
      <c r="E883" s="285" t="s">
        <v>3134</v>
      </c>
      <c r="F883" s="286" t="s">
        <v>1556</v>
      </c>
      <c r="G883" s="284">
        <v>150</v>
      </c>
      <c r="H883" s="284">
        <v>14</v>
      </c>
      <c r="I883" s="284">
        <v>0.95</v>
      </c>
      <c r="J883" s="287">
        <f>Y883*H883%*I883/G883*1000</f>
        <v>265556.66666666674</v>
      </c>
      <c r="K883" s="301">
        <v>2</v>
      </c>
      <c r="L883" s="289">
        <f>(Y883*K883%)/G883*1000</f>
        <v>39933.33333333333</v>
      </c>
      <c r="M883" s="301">
        <v>4</v>
      </c>
      <c r="N883" s="289">
        <f>(Y883*M883%)/G883*1000</f>
        <v>79866.66666666666</v>
      </c>
      <c r="O883" s="302"/>
      <c r="P883" s="272"/>
      <c r="Q883" s="288"/>
      <c r="R883" s="300">
        <f>+(O883*$AA$2)*(1+$AA$3)</f>
        <v>0</v>
      </c>
      <c r="S883" s="284"/>
      <c r="T883" s="296"/>
      <c r="U883" s="250">
        <f>ROUND((J883+L883+N883+R883+T883),0)</f>
        <v>385357</v>
      </c>
      <c r="V883" s="250">
        <v>385357</v>
      </c>
      <c r="W883" s="250">
        <v>385357</v>
      </c>
      <c r="X883" s="250">
        <v>385357</v>
      </c>
      <c r="Y883" s="293">
        <v>299500</v>
      </c>
      <c r="Z883" s="294"/>
      <c r="AA883" s="251"/>
      <c r="AB883" s="251"/>
    </row>
    <row r="884" spans="1:28" s="295" customFormat="1" ht="15.75">
      <c r="A884" s="297"/>
      <c r="B884" s="284"/>
      <c r="C884" s="298"/>
      <c r="D884" s="284"/>
      <c r="E884" s="272"/>
      <c r="F884" s="149" t="s">
        <v>1557</v>
      </c>
      <c r="G884" s="284"/>
      <c r="H884" s="284"/>
      <c r="I884" s="284"/>
      <c r="J884" s="299"/>
      <c r="K884" s="301"/>
      <c r="L884" s="289"/>
      <c r="M884" s="301"/>
      <c r="N884" s="300"/>
      <c r="O884" s="302"/>
      <c r="P884" s="272"/>
      <c r="Q884" s="288"/>
      <c r="R884" s="300"/>
      <c r="S884" s="284"/>
      <c r="T884" s="296"/>
      <c r="U884" s="250"/>
      <c r="V884" s="250"/>
      <c r="W884" s="250"/>
      <c r="X884" s="250"/>
      <c r="Y884" s="293"/>
      <c r="Z884" s="385"/>
      <c r="AA884" s="251"/>
      <c r="AB884" s="251"/>
    </row>
    <row r="885" spans="1:28" s="295" customFormat="1" ht="15.75">
      <c r="A885" s="284">
        <v>713</v>
      </c>
      <c r="B885" s="284" t="s">
        <v>751</v>
      </c>
      <c r="C885" s="284" t="s">
        <v>1558</v>
      </c>
      <c r="D885" s="284" t="s">
        <v>1295</v>
      </c>
      <c r="E885" s="285" t="s">
        <v>1559</v>
      </c>
      <c r="F885" s="286" t="s">
        <v>1559</v>
      </c>
      <c r="G885" s="284">
        <v>200</v>
      </c>
      <c r="H885" s="284">
        <v>14</v>
      </c>
      <c r="I885" s="284">
        <v>1</v>
      </c>
      <c r="J885" s="287">
        <f aca="true" t="shared" si="191" ref="J885:J948">Y885*H885%*I885/G885*1000</f>
        <v>5040.000000000001</v>
      </c>
      <c r="K885" s="301">
        <v>1.8</v>
      </c>
      <c r="L885" s="289">
        <f aca="true" t="shared" si="192" ref="L885:L948">(Y885*K885%)/G885*1000</f>
        <v>648.0000000000001</v>
      </c>
      <c r="M885" s="301">
        <v>4</v>
      </c>
      <c r="N885" s="289">
        <f aca="true" t="shared" si="193" ref="N885:N948">(Y885*M885%)/G885*1000</f>
        <v>1440</v>
      </c>
      <c r="O885" s="302"/>
      <c r="P885" s="272"/>
      <c r="Q885" s="288"/>
      <c r="R885" s="300">
        <f>+(O885*$AA$2)*(1+$AA$3)</f>
        <v>0</v>
      </c>
      <c r="S885" s="284"/>
      <c r="T885" s="296"/>
      <c r="U885" s="250">
        <f aca="true" t="shared" si="194" ref="U885:U948">ROUND((J885+L885+N885+R885+T885),0)</f>
        <v>7128</v>
      </c>
      <c r="V885" s="250">
        <v>7128</v>
      </c>
      <c r="W885" s="250">
        <v>7128</v>
      </c>
      <c r="X885" s="250">
        <v>7128</v>
      </c>
      <c r="Y885" s="293">
        <v>7200</v>
      </c>
      <c r="Z885" s="294"/>
      <c r="AA885" s="251"/>
      <c r="AB885" s="251"/>
    </row>
    <row r="886" spans="1:28" s="295" customFormat="1" ht="15.75">
      <c r="A886" s="284">
        <v>714</v>
      </c>
      <c r="B886" s="284" t="s">
        <v>752</v>
      </c>
      <c r="C886" s="284" t="s">
        <v>1560</v>
      </c>
      <c r="D886" s="284" t="s">
        <v>1306</v>
      </c>
      <c r="E886" s="285" t="s">
        <v>1561</v>
      </c>
      <c r="F886" s="286" t="s">
        <v>1561</v>
      </c>
      <c r="G886" s="284">
        <v>200</v>
      </c>
      <c r="H886" s="284">
        <v>14</v>
      </c>
      <c r="I886" s="284">
        <v>0.95</v>
      </c>
      <c r="J886" s="287">
        <f t="shared" si="191"/>
        <v>7381.500000000001</v>
      </c>
      <c r="K886" s="301">
        <v>1.8</v>
      </c>
      <c r="L886" s="289">
        <f t="shared" si="192"/>
        <v>999.0000000000001</v>
      </c>
      <c r="M886" s="301">
        <v>4</v>
      </c>
      <c r="N886" s="289">
        <f t="shared" si="193"/>
        <v>2220</v>
      </c>
      <c r="O886" s="302"/>
      <c r="P886" s="272"/>
      <c r="Q886" s="288"/>
      <c r="R886" s="300">
        <f>+(O886*$AA$2)*(1+$AA$3)</f>
        <v>0</v>
      </c>
      <c r="S886" s="284"/>
      <c r="T886" s="296"/>
      <c r="U886" s="250">
        <f t="shared" si="194"/>
        <v>10601</v>
      </c>
      <c r="V886" s="250">
        <v>10601</v>
      </c>
      <c r="W886" s="250">
        <v>10601</v>
      </c>
      <c r="X886" s="250">
        <v>10601</v>
      </c>
      <c r="Y886" s="293">
        <v>11100</v>
      </c>
      <c r="Z886" s="294"/>
      <c r="AA886" s="251"/>
      <c r="AB886" s="251"/>
    </row>
    <row r="887" spans="1:28" s="295" customFormat="1" ht="15.75">
      <c r="A887" s="284">
        <v>715</v>
      </c>
      <c r="B887" s="284" t="s">
        <v>746</v>
      </c>
      <c r="C887" s="284" t="s">
        <v>380</v>
      </c>
      <c r="D887" s="284" t="s">
        <v>1300</v>
      </c>
      <c r="E887" s="285" t="s">
        <v>381</v>
      </c>
      <c r="F887" s="286" t="s">
        <v>381</v>
      </c>
      <c r="G887" s="284">
        <v>200</v>
      </c>
      <c r="H887" s="284">
        <v>14</v>
      </c>
      <c r="I887" s="284">
        <v>1</v>
      </c>
      <c r="J887" s="287">
        <f t="shared" si="191"/>
        <v>2940</v>
      </c>
      <c r="K887" s="301">
        <v>1.8</v>
      </c>
      <c r="L887" s="289">
        <f t="shared" si="192"/>
        <v>378.00000000000006</v>
      </c>
      <c r="M887" s="301">
        <v>4</v>
      </c>
      <c r="N887" s="289">
        <f t="shared" si="193"/>
        <v>840</v>
      </c>
      <c r="O887" s="302"/>
      <c r="P887" s="272"/>
      <c r="Q887" s="288"/>
      <c r="R887" s="300">
        <f>+(O887*$AA$2)*(1+$AA$3)</f>
        <v>0</v>
      </c>
      <c r="S887" s="284"/>
      <c r="T887" s="296"/>
      <c r="U887" s="250">
        <f t="shared" si="194"/>
        <v>4158</v>
      </c>
      <c r="V887" s="250">
        <v>4158</v>
      </c>
      <c r="W887" s="250">
        <v>4158</v>
      </c>
      <c r="X887" s="250">
        <v>4158</v>
      </c>
      <c r="Y887" s="293">
        <v>4200</v>
      </c>
      <c r="Z887" s="294"/>
      <c r="AA887" s="251"/>
      <c r="AB887" s="251"/>
    </row>
    <row r="888" spans="1:28" s="295" customFormat="1" ht="15.75">
      <c r="A888" s="284">
        <v>716</v>
      </c>
      <c r="B888" s="284">
        <v>0</v>
      </c>
      <c r="C888" s="284" t="s">
        <v>382</v>
      </c>
      <c r="D888" s="284" t="s">
        <v>2141</v>
      </c>
      <c r="E888" s="285" t="s">
        <v>3132</v>
      </c>
      <c r="F888" s="286" t="s">
        <v>383</v>
      </c>
      <c r="G888" s="284">
        <v>200</v>
      </c>
      <c r="H888" s="284">
        <v>14</v>
      </c>
      <c r="I888" s="284">
        <v>1</v>
      </c>
      <c r="J888" s="287">
        <f t="shared" si="191"/>
        <v>3430.0000000000005</v>
      </c>
      <c r="K888" s="301">
        <v>1.8</v>
      </c>
      <c r="L888" s="289">
        <f t="shared" si="192"/>
        <v>441.00000000000006</v>
      </c>
      <c r="M888" s="301">
        <v>4</v>
      </c>
      <c r="N888" s="289">
        <f t="shared" si="193"/>
        <v>980</v>
      </c>
      <c r="O888" s="302"/>
      <c r="P888" s="272"/>
      <c r="Q888" s="288"/>
      <c r="R888" s="300">
        <f>+(O888*$AA$2)*(1+$AA$3)</f>
        <v>0</v>
      </c>
      <c r="S888" s="284"/>
      <c r="T888" s="296"/>
      <c r="U888" s="250">
        <f t="shared" si="194"/>
        <v>4851</v>
      </c>
      <c r="V888" s="250">
        <v>4851</v>
      </c>
      <c r="W888" s="250">
        <v>4851</v>
      </c>
      <c r="X888" s="250">
        <v>4851</v>
      </c>
      <c r="Y888" s="293">
        <v>4900</v>
      </c>
      <c r="Z888" s="294"/>
      <c r="AA888" s="251"/>
      <c r="AB888" s="251"/>
    </row>
    <row r="889" spans="1:28" s="295" customFormat="1" ht="15.75">
      <c r="A889" s="284">
        <v>717</v>
      </c>
      <c r="B889" s="284" t="s">
        <v>757</v>
      </c>
      <c r="C889" s="284" t="s">
        <v>384</v>
      </c>
      <c r="D889" s="284" t="s">
        <v>3677</v>
      </c>
      <c r="E889" s="285" t="s">
        <v>385</v>
      </c>
      <c r="F889" s="286" t="s">
        <v>385</v>
      </c>
      <c r="G889" s="284">
        <v>200</v>
      </c>
      <c r="H889" s="284">
        <v>14</v>
      </c>
      <c r="I889" s="284">
        <v>0.95</v>
      </c>
      <c r="J889" s="287">
        <f t="shared" si="191"/>
        <v>8246</v>
      </c>
      <c r="K889" s="301">
        <v>4</v>
      </c>
      <c r="L889" s="289">
        <f t="shared" si="192"/>
        <v>2480</v>
      </c>
      <c r="M889" s="301">
        <v>4</v>
      </c>
      <c r="N889" s="289">
        <f t="shared" si="193"/>
        <v>2480</v>
      </c>
      <c r="O889" s="302">
        <v>12.2</v>
      </c>
      <c r="P889" s="272" t="s">
        <v>433</v>
      </c>
      <c r="Q889" s="288">
        <v>1.07</v>
      </c>
      <c r="R889" s="289">
        <f aca="true" t="shared" si="195" ref="R889:R898">O889*dien*Q889</f>
        <v>14868.506</v>
      </c>
      <c r="S889" s="284"/>
      <c r="T889" s="296"/>
      <c r="U889" s="250">
        <f t="shared" si="194"/>
        <v>28075</v>
      </c>
      <c r="V889" s="250">
        <v>28075</v>
      </c>
      <c r="W889" s="250">
        <v>28075</v>
      </c>
      <c r="X889" s="250">
        <v>28075</v>
      </c>
      <c r="Y889" s="293">
        <v>12400</v>
      </c>
      <c r="Z889" s="294"/>
      <c r="AA889" s="251"/>
      <c r="AB889" s="251"/>
    </row>
    <row r="890" spans="1:28" s="295" customFormat="1" ht="15.75">
      <c r="A890" s="284">
        <v>718</v>
      </c>
      <c r="B890" s="284" t="s">
        <v>792</v>
      </c>
      <c r="C890" s="284" t="s">
        <v>386</v>
      </c>
      <c r="D890" s="284" t="s">
        <v>3678</v>
      </c>
      <c r="E890" s="285" t="s">
        <v>387</v>
      </c>
      <c r="F890" s="286" t="s">
        <v>387</v>
      </c>
      <c r="G890" s="284">
        <v>200</v>
      </c>
      <c r="H890" s="284">
        <v>14</v>
      </c>
      <c r="I890" s="284">
        <v>1</v>
      </c>
      <c r="J890" s="287">
        <f t="shared" si="191"/>
        <v>7490.000000000001</v>
      </c>
      <c r="K890" s="301">
        <v>4.5</v>
      </c>
      <c r="L890" s="289">
        <f t="shared" si="192"/>
        <v>2407.5</v>
      </c>
      <c r="M890" s="301">
        <v>4</v>
      </c>
      <c r="N890" s="289">
        <f t="shared" si="193"/>
        <v>2140</v>
      </c>
      <c r="O890" s="302">
        <v>8.2</v>
      </c>
      <c r="P890" s="272" t="s">
        <v>433</v>
      </c>
      <c r="Q890" s="288">
        <v>1.07</v>
      </c>
      <c r="R890" s="289">
        <f t="shared" si="195"/>
        <v>9993.586</v>
      </c>
      <c r="S890" s="284"/>
      <c r="T890" s="296"/>
      <c r="U890" s="250">
        <v>21657</v>
      </c>
      <c r="V890" s="250">
        <v>21657</v>
      </c>
      <c r="W890" s="250">
        <v>21657</v>
      </c>
      <c r="X890" s="250">
        <v>21657</v>
      </c>
      <c r="Y890" s="293">
        <v>10700</v>
      </c>
      <c r="Z890" s="294"/>
      <c r="AA890" s="251"/>
      <c r="AB890" s="251"/>
    </row>
    <row r="891" spans="1:28" s="295" customFormat="1" ht="15.75">
      <c r="A891" s="284">
        <v>719</v>
      </c>
      <c r="B891" s="284">
        <v>0</v>
      </c>
      <c r="C891" s="284" t="s">
        <v>388</v>
      </c>
      <c r="D891" s="284" t="s">
        <v>3679</v>
      </c>
      <c r="E891" s="285" t="s">
        <v>389</v>
      </c>
      <c r="F891" s="286" t="s">
        <v>389</v>
      </c>
      <c r="G891" s="284">
        <v>200</v>
      </c>
      <c r="H891" s="284">
        <v>14</v>
      </c>
      <c r="I891" s="284">
        <v>0.95</v>
      </c>
      <c r="J891" s="287">
        <f t="shared" si="191"/>
        <v>7115.500000000001</v>
      </c>
      <c r="K891" s="301">
        <v>4</v>
      </c>
      <c r="L891" s="289">
        <f t="shared" si="192"/>
        <v>2140</v>
      </c>
      <c r="M891" s="301">
        <v>4</v>
      </c>
      <c r="N891" s="289">
        <f t="shared" si="193"/>
        <v>2140</v>
      </c>
      <c r="O891" s="302">
        <v>2.4</v>
      </c>
      <c r="P891" s="272" t="s">
        <v>433</v>
      </c>
      <c r="Q891" s="288">
        <v>1.07</v>
      </c>
      <c r="R891" s="289">
        <f t="shared" si="195"/>
        <v>2924.952</v>
      </c>
      <c r="S891" s="284"/>
      <c r="T891" s="296"/>
      <c r="U891" s="250">
        <f t="shared" si="194"/>
        <v>14320</v>
      </c>
      <c r="V891" s="250">
        <v>14320</v>
      </c>
      <c r="W891" s="250">
        <v>14320</v>
      </c>
      <c r="X891" s="250">
        <v>14320</v>
      </c>
      <c r="Y891" s="293">
        <v>10700</v>
      </c>
      <c r="Z891" s="294"/>
      <c r="AA891" s="251"/>
      <c r="AB891" s="251"/>
    </row>
    <row r="892" spans="1:28" s="295" customFormat="1" ht="15.75">
      <c r="A892" s="284">
        <v>720</v>
      </c>
      <c r="B892" s="284">
        <v>0</v>
      </c>
      <c r="C892" s="284" t="s">
        <v>390</v>
      </c>
      <c r="D892" s="284" t="s">
        <v>3680</v>
      </c>
      <c r="E892" s="285" t="s">
        <v>391</v>
      </c>
      <c r="F892" s="286" t="s">
        <v>391</v>
      </c>
      <c r="G892" s="284">
        <v>250</v>
      </c>
      <c r="H892" s="284">
        <v>14</v>
      </c>
      <c r="I892" s="284">
        <v>1</v>
      </c>
      <c r="J892" s="287">
        <f t="shared" si="191"/>
        <v>3808.0000000000005</v>
      </c>
      <c r="K892" s="301">
        <v>4</v>
      </c>
      <c r="L892" s="289">
        <f t="shared" si="192"/>
        <v>1088</v>
      </c>
      <c r="M892" s="301">
        <v>4</v>
      </c>
      <c r="N892" s="289">
        <f t="shared" si="193"/>
        <v>1088</v>
      </c>
      <c r="O892" s="302">
        <v>2.4</v>
      </c>
      <c r="P892" s="272" t="s">
        <v>433</v>
      </c>
      <c r="Q892" s="288">
        <v>1.07</v>
      </c>
      <c r="R892" s="289">
        <f t="shared" si="195"/>
        <v>2924.952</v>
      </c>
      <c r="S892" s="284"/>
      <c r="T892" s="296"/>
      <c r="U892" s="250">
        <f t="shared" si="194"/>
        <v>8909</v>
      </c>
      <c r="V892" s="250">
        <v>8909</v>
      </c>
      <c r="W892" s="250">
        <v>8909</v>
      </c>
      <c r="X892" s="250">
        <v>8909</v>
      </c>
      <c r="Y892" s="293">
        <v>6800</v>
      </c>
      <c r="Z892" s="294"/>
      <c r="AA892" s="251"/>
      <c r="AB892" s="251"/>
    </row>
    <row r="893" spans="1:28" s="295" customFormat="1" ht="31.5">
      <c r="A893" s="284">
        <v>721</v>
      </c>
      <c r="B893" s="284">
        <v>0</v>
      </c>
      <c r="C893" s="284" t="s">
        <v>392</v>
      </c>
      <c r="D893" s="284" t="s">
        <v>3681</v>
      </c>
      <c r="E893" s="285" t="s">
        <v>393</v>
      </c>
      <c r="F893" s="286" t="s">
        <v>393</v>
      </c>
      <c r="G893" s="284">
        <v>200</v>
      </c>
      <c r="H893" s="284">
        <v>14</v>
      </c>
      <c r="I893" s="284">
        <v>1</v>
      </c>
      <c r="J893" s="287">
        <f t="shared" si="191"/>
        <v>2310.0000000000005</v>
      </c>
      <c r="K893" s="301">
        <v>4.5</v>
      </c>
      <c r="L893" s="289">
        <f t="shared" si="192"/>
        <v>742.5</v>
      </c>
      <c r="M893" s="301">
        <v>4</v>
      </c>
      <c r="N893" s="289">
        <f t="shared" si="193"/>
        <v>660</v>
      </c>
      <c r="O893" s="302">
        <v>0.8</v>
      </c>
      <c r="P893" s="272" t="s">
        <v>433</v>
      </c>
      <c r="Q893" s="288">
        <v>1.07</v>
      </c>
      <c r="R893" s="289">
        <f t="shared" si="195"/>
        <v>974.9840000000002</v>
      </c>
      <c r="S893" s="284"/>
      <c r="T893" s="296"/>
      <c r="U893" s="250">
        <f t="shared" si="194"/>
        <v>4687</v>
      </c>
      <c r="V893" s="250">
        <v>4687</v>
      </c>
      <c r="W893" s="250">
        <v>4687</v>
      </c>
      <c r="X893" s="250">
        <v>4687</v>
      </c>
      <c r="Y893" s="293">
        <v>3300</v>
      </c>
      <c r="Z893" s="294"/>
      <c r="AA893" s="251"/>
      <c r="AB893" s="251"/>
    </row>
    <row r="894" spans="1:28" s="295" customFormat="1" ht="31.5">
      <c r="A894" s="284">
        <v>722</v>
      </c>
      <c r="B894" s="284">
        <v>0</v>
      </c>
      <c r="C894" s="284" t="s">
        <v>394</v>
      </c>
      <c r="D894" s="284" t="s">
        <v>3682</v>
      </c>
      <c r="E894" s="285" t="s">
        <v>395</v>
      </c>
      <c r="F894" s="286" t="s">
        <v>395</v>
      </c>
      <c r="G894" s="284">
        <v>200</v>
      </c>
      <c r="H894" s="284">
        <v>14</v>
      </c>
      <c r="I894" s="284">
        <v>1</v>
      </c>
      <c r="J894" s="287">
        <f t="shared" si="191"/>
        <v>6300.000000000001</v>
      </c>
      <c r="K894" s="301">
        <v>4</v>
      </c>
      <c r="L894" s="289">
        <f t="shared" si="192"/>
        <v>1800</v>
      </c>
      <c r="M894" s="301">
        <v>4</v>
      </c>
      <c r="N894" s="289">
        <f t="shared" si="193"/>
        <v>1800</v>
      </c>
      <c r="O894" s="302"/>
      <c r="P894" s="272"/>
      <c r="Q894" s="288">
        <v>1.07</v>
      </c>
      <c r="R894" s="300">
        <f t="shared" si="195"/>
        <v>0</v>
      </c>
      <c r="S894" s="284"/>
      <c r="T894" s="296"/>
      <c r="U894" s="250">
        <f t="shared" si="194"/>
        <v>9900</v>
      </c>
      <c r="V894" s="250">
        <v>9900</v>
      </c>
      <c r="W894" s="250">
        <v>9900</v>
      </c>
      <c r="X894" s="250">
        <v>9900</v>
      </c>
      <c r="Y894" s="293">
        <v>9000</v>
      </c>
      <c r="Z894" s="294"/>
      <c r="AA894" s="251"/>
      <c r="AB894" s="251"/>
    </row>
    <row r="895" spans="1:28" s="295" customFormat="1" ht="15.75">
      <c r="A895" s="284">
        <v>723</v>
      </c>
      <c r="B895" s="284" t="s">
        <v>739</v>
      </c>
      <c r="C895" s="284" t="s">
        <v>396</v>
      </c>
      <c r="D895" s="284" t="s">
        <v>3683</v>
      </c>
      <c r="E895" s="285" t="s">
        <v>397</v>
      </c>
      <c r="F895" s="286" t="s">
        <v>397</v>
      </c>
      <c r="G895" s="284">
        <v>150</v>
      </c>
      <c r="H895" s="284">
        <v>40</v>
      </c>
      <c r="I895" s="284">
        <v>1</v>
      </c>
      <c r="J895" s="287">
        <f t="shared" si="191"/>
        <v>1866.6666666666667</v>
      </c>
      <c r="K895" s="301">
        <v>6.5</v>
      </c>
      <c r="L895" s="289">
        <f t="shared" si="192"/>
        <v>303.33333333333337</v>
      </c>
      <c r="M895" s="301">
        <v>4</v>
      </c>
      <c r="N895" s="289">
        <f t="shared" si="193"/>
        <v>186.66666666666669</v>
      </c>
      <c r="O895" s="302">
        <v>2.9</v>
      </c>
      <c r="P895" s="272" t="s">
        <v>433</v>
      </c>
      <c r="Q895" s="288">
        <v>1.07</v>
      </c>
      <c r="R895" s="289">
        <f t="shared" si="195"/>
        <v>3534.317</v>
      </c>
      <c r="S895" s="284"/>
      <c r="T895" s="296"/>
      <c r="U895" s="250">
        <f t="shared" si="194"/>
        <v>5891</v>
      </c>
      <c r="V895" s="250">
        <v>5891</v>
      </c>
      <c r="W895" s="250">
        <v>5891</v>
      </c>
      <c r="X895" s="250">
        <v>5891</v>
      </c>
      <c r="Y895" s="293">
        <v>700</v>
      </c>
      <c r="Z895" s="294"/>
      <c r="AA895" s="251"/>
      <c r="AB895" s="251"/>
    </row>
    <row r="896" spans="1:28" s="295" customFormat="1" ht="15.75">
      <c r="A896" s="284">
        <v>724</v>
      </c>
      <c r="B896" s="284" t="s">
        <v>738</v>
      </c>
      <c r="C896" s="284" t="s">
        <v>398</v>
      </c>
      <c r="D896" s="284" t="s">
        <v>3040</v>
      </c>
      <c r="E896" s="285" t="s">
        <v>399</v>
      </c>
      <c r="F896" s="286" t="s">
        <v>399</v>
      </c>
      <c r="G896" s="284">
        <v>150</v>
      </c>
      <c r="H896" s="284">
        <v>40</v>
      </c>
      <c r="I896" s="284">
        <v>1</v>
      </c>
      <c r="J896" s="287">
        <f t="shared" si="191"/>
        <v>2400</v>
      </c>
      <c r="K896" s="301">
        <v>6.5</v>
      </c>
      <c r="L896" s="289">
        <f t="shared" si="192"/>
        <v>390</v>
      </c>
      <c r="M896" s="301">
        <v>4</v>
      </c>
      <c r="N896" s="289">
        <f t="shared" si="193"/>
        <v>240</v>
      </c>
      <c r="O896" s="302">
        <v>2.9</v>
      </c>
      <c r="P896" s="272" t="s">
        <v>433</v>
      </c>
      <c r="Q896" s="288">
        <v>1.07</v>
      </c>
      <c r="R896" s="289">
        <f t="shared" si="195"/>
        <v>3534.317</v>
      </c>
      <c r="S896" s="284"/>
      <c r="T896" s="296"/>
      <c r="U896" s="250">
        <f t="shared" si="194"/>
        <v>6564</v>
      </c>
      <c r="V896" s="250">
        <v>6564</v>
      </c>
      <c r="W896" s="250">
        <v>6564</v>
      </c>
      <c r="X896" s="250">
        <v>6564</v>
      </c>
      <c r="Y896" s="293">
        <v>900</v>
      </c>
      <c r="Z896" s="294"/>
      <c r="AA896" s="251"/>
      <c r="AB896" s="251"/>
    </row>
    <row r="897" spans="1:28" s="295" customFormat="1" ht="31.5">
      <c r="A897" s="284">
        <v>725</v>
      </c>
      <c r="B897" s="284" t="s">
        <v>765</v>
      </c>
      <c r="C897" s="284" t="s">
        <v>400</v>
      </c>
      <c r="D897" s="284" t="s">
        <v>3684</v>
      </c>
      <c r="E897" s="285" t="s">
        <v>15</v>
      </c>
      <c r="F897" s="286" t="s">
        <v>401</v>
      </c>
      <c r="G897" s="284">
        <v>200</v>
      </c>
      <c r="H897" s="284">
        <v>14</v>
      </c>
      <c r="I897" s="284">
        <v>1</v>
      </c>
      <c r="J897" s="287">
        <f t="shared" si="191"/>
        <v>4620.000000000001</v>
      </c>
      <c r="K897" s="301">
        <v>3.5</v>
      </c>
      <c r="L897" s="289">
        <f t="shared" si="192"/>
        <v>1155.0000000000002</v>
      </c>
      <c r="M897" s="301">
        <v>4</v>
      </c>
      <c r="N897" s="289">
        <f t="shared" si="193"/>
        <v>1320</v>
      </c>
      <c r="O897" s="302">
        <v>2.9</v>
      </c>
      <c r="P897" s="272" t="s">
        <v>433</v>
      </c>
      <c r="Q897" s="288">
        <v>1.07</v>
      </c>
      <c r="R897" s="289">
        <f t="shared" si="195"/>
        <v>3534.317</v>
      </c>
      <c r="S897" s="284"/>
      <c r="T897" s="296"/>
      <c r="U897" s="250">
        <f t="shared" si="194"/>
        <v>10629</v>
      </c>
      <c r="V897" s="250">
        <v>10629</v>
      </c>
      <c r="W897" s="250">
        <v>10629</v>
      </c>
      <c r="X897" s="250">
        <v>10629</v>
      </c>
      <c r="Y897" s="293">
        <v>6600</v>
      </c>
      <c r="Z897" s="294"/>
      <c r="AA897" s="251"/>
      <c r="AB897" s="251"/>
    </row>
    <row r="898" spans="1:28" s="295" customFormat="1" ht="15.75">
      <c r="A898" s="284">
        <v>726</v>
      </c>
      <c r="B898" s="284">
        <v>0</v>
      </c>
      <c r="C898" s="284" t="s">
        <v>402</v>
      </c>
      <c r="D898" s="284" t="s">
        <v>3685</v>
      </c>
      <c r="E898" s="285" t="s">
        <v>403</v>
      </c>
      <c r="F898" s="286" t="s">
        <v>403</v>
      </c>
      <c r="G898" s="284">
        <v>200</v>
      </c>
      <c r="H898" s="284">
        <v>14</v>
      </c>
      <c r="I898" s="284">
        <v>1</v>
      </c>
      <c r="J898" s="287">
        <f t="shared" si="191"/>
        <v>3850.0000000000005</v>
      </c>
      <c r="K898" s="301">
        <v>3.5</v>
      </c>
      <c r="L898" s="289">
        <f t="shared" si="192"/>
        <v>962.5000000000001</v>
      </c>
      <c r="M898" s="301">
        <v>4</v>
      </c>
      <c r="N898" s="289">
        <f t="shared" si="193"/>
        <v>1100</v>
      </c>
      <c r="O898" s="302">
        <v>4.1</v>
      </c>
      <c r="P898" s="272" t="s">
        <v>433</v>
      </c>
      <c r="Q898" s="288">
        <v>1.07</v>
      </c>
      <c r="R898" s="289">
        <f t="shared" si="195"/>
        <v>4996.793</v>
      </c>
      <c r="S898" s="284"/>
      <c r="T898" s="296"/>
      <c r="U898" s="250">
        <f>ROUND((J898+L898+N898+R898+T898),0)+1</f>
        <v>10910</v>
      </c>
      <c r="V898" s="250">
        <v>10910</v>
      </c>
      <c r="W898" s="250">
        <v>10910</v>
      </c>
      <c r="X898" s="250">
        <v>10910</v>
      </c>
      <c r="Y898" s="293">
        <v>5500</v>
      </c>
      <c r="Z898" s="294"/>
      <c r="AA898" s="251"/>
      <c r="AB898" s="251"/>
    </row>
    <row r="899" spans="1:28" s="295" customFormat="1" ht="31.5">
      <c r="A899" s="284">
        <v>727</v>
      </c>
      <c r="B899" s="284">
        <v>0</v>
      </c>
      <c r="C899" s="284" t="s">
        <v>404</v>
      </c>
      <c r="D899" s="284" t="s">
        <v>3686</v>
      </c>
      <c r="E899" s="285" t="s">
        <v>16</v>
      </c>
      <c r="F899" s="286" t="s">
        <v>405</v>
      </c>
      <c r="G899" s="284">
        <v>200</v>
      </c>
      <c r="H899" s="284">
        <v>14</v>
      </c>
      <c r="I899" s="284">
        <v>1</v>
      </c>
      <c r="J899" s="287">
        <f t="shared" si="191"/>
        <v>12180.000000000002</v>
      </c>
      <c r="K899" s="301">
        <v>3.5</v>
      </c>
      <c r="L899" s="289">
        <f t="shared" si="192"/>
        <v>3045.0000000000005</v>
      </c>
      <c r="M899" s="301">
        <v>4</v>
      </c>
      <c r="N899" s="289">
        <f t="shared" si="193"/>
        <v>3480</v>
      </c>
      <c r="O899" s="302"/>
      <c r="P899" s="272"/>
      <c r="Q899" s="288">
        <v>1.07</v>
      </c>
      <c r="R899" s="300">
        <f>+(O899*$AA$2)*(1+$AA$3)</f>
        <v>0</v>
      </c>
      <c r="S899" s="284"/>
      <c r="T899" s="296"/>
      <c r="U899" s="250">
        <v>18096</v>
      </c>
      <c r="V899" s="250">
        <v>18096</v>
      </c>
      <c r="W899" s="250">
        <v>18096</v>
      </c>
      <c r="X899" s="250">
        <v>18096</v>
      </c>
      <c r="Y899" s="293">
        <v>17400</v>
      </c>
      <c r="Z899" s="294"/>
      <c r="AA899" s="251"/>
      <c r="AB899" s="251"/>
    </row>
    <row r="900" spans="1:28" s="295" customFormat="1" ht="47.25">
      <c r="A900" s="284">
        <v>728</v>
      </c>
      <c r="B900" s="284" t="s">
        <v>645</v>
      </c>
      <c r="C900" s="284" t="s">
        <v>406</v>
      </c>
      <c r="D900" s="284" t="s">
        <v>3687</v>
      </c>
      <c r="E900" s="285" t="s">
        <v>17</v>
      </c>
      <c r="F900" s="286" t="s">
        <v>407</v>
      </c>
      <c r="G900" s="284">
        <v>200</v>
      </c>
      <c r="H900" s="284">
        <v>14</v>
      </c>
      <c r="I900" s="284">
        <v>1</v>
      </c>
      <c r="J900" s="287">
        <f t="shared" si="191"/>
        <v>10360</v>
      </c>
      <c r="K900" s="301">
        <v>3.5</v>
      </c>
      <c r="L900" s="289">
        <f t="shared" si="192"/>
        <v>2590</v>
      </c>
      <c r="M900" s="301">
        <v>4</v>
      </c>
      <c r="N900" s="289">
        <f t="shared" si="193"/>
        <v>2960</v>
      </c>
      <c r="O900" s="302"/>
      <c r="P900" s="272"/>
      <c r="Q900" s="288"/>
      <c r="R900" s="300">
        <f>+(O900*$AA$2)*(1+$AA$3)</f>
        <v>0</v>
      </c>
      <c r="S900" s="284"/>
      <c r="T900" s="296"/>
      <c r="U900" s="250">
        <v>15392</v>
      </c>
      <c r="V900" s="250">
        <v>15392</v>
      </c>
      <c r="W900" s="250">
        <v>15392</v>
      </c>
      <c r="X900" s="250">
        <v>15392</v>
      </c>
      <c r="Y900" s="293">
        <v>14800</v>
      </c>
      <c r="Z900" s="294"/>
      <c r="AA900" s="251"/>
      <c r="AB900" s="251"/>
    </row>
    <row r="901" spans="1:28" s="295" customFormat="1" ht="31.5">
      <c r="A901" s="284">
        <v>729</v>
      </c>
      <c r="B901" s="284">
        <v>0</v>
      </c>
      <c r="C901" s="284" t="s">
        <v>408</v>
      </c>
      <c r="D901" s="284" t="s">
        <v>3688</v>
      </c>
      <c r="E901" s="285" t="s">
        <v>409</v>
      </c>
      <c r="F901" s="286" t="s">
        <v>409</v>
      </c>
      <c r="G901" s="284">
        <v>200</v>
      </c>
      <c r="H901" s="284">
        <v>14</v>
      </c>
      <c r="I901" s="284">
        <v>1</v>
      </c>
      <c r="J901" s="287">
        <f t="shared" si="191"/>
        <v>3850.0000000000005</v>
      </c>
      <c r="K901" s="301">
        <v>4.5</v>
      </c>
      <c r="L901" s="289">
        <f t="shared" si="192"/>
        <v>1237.5</v>
      </c>
      <c r="M901" s="301">
        <v>4</v>
      </c>
      <c r="N901" s="289">
        <f t="shared" si="193"/>
        <v>1100</v>
      </c>
      <c r="O901" s="302">
        <v>4.1</v>
      </c>
      <c r="P901" s="272" t="s">
        <v>433</v>
      </c>
      <c r="Q901" s="288">
        <v>1.07</v>
      </c>
      <c r="R901" s="289">
        <f>O901*dien*Q901</f>
        <v>4996.793</v>
      </c>
      <c r="S901" s="284"/>
      <c r="T901" s="296"/>
      <c r="U901" s="250">
        <f t="shared" si="194"/>
        <v>11184</v>
      </c>
      <c r="V901" s="250">
        <v>11184</v>
      </c>
      <c r="W901" s="250">
        <v>11184</v>
      </c>
      <c r="X901" s="250">
        <v>11184</v>
      </c>
      <c r="Y901" s="293">
        <v>5500</v>
      </c>
      <c r="Z901" s="294"/>
      <c r="AA901" s="251"/>
      <c r="AB901" s="251"/>
    </row>
    <row r="902" spans="1:28" s="295" customFormat="1" ht="15.75">
      <c r="A902" s="284">
        <v>730</v>
      </c>
      <c r="B902" s="284">
        <v>0</v>
      </c>
      <c r="C902" s="284" t="s">
        <v>410</v>
      </c>
      <c r="D902" s="284" t="s">
        <v>3689</v>
      </c>
      <c r="E902" s="285" t="s">
        <v>411</v>
      </c>
      <c r="F902" s="286" t="s">
        <v>411</v>
      </c>
      <c r="G902" s="284">
        <v>200</v>
      </c>
      <c r="H902" s="284">
        <v>14</v>
      </c>
      <c r="I902" s="284">
        <v>1</v>
      </c>
      <c r="J902" s="287">
        <f t="shared" si="191"/>
        <v>1610.0000000000002</v>
      </c>
      <c r="K902" s="301">
        <v>3</v>
      </c>
      <c r="L902" s="289">
        <f t="shared" si="192"/>
        <v>345</v>
      </c>
      <c r="M902" s="301">
        <v>4</v>
      </c>
      <c r="N902" s="289">
        <f t="shared" si="193"/>
        <v>460</v>
      </c>
      <c r="O902" s="302"/>
      <c r="P902" s="272"/>
      <c r="Q902" s="288"/>
      <c r="R902" s="300">
        <f>+(O902*$AA$2)*(1+$AA$3)</f>
        <v>0</v>
      </c>
      <c r="S902" s="284"/>
      <c r="T902" s="296"/>
      <c r="U902" s="250">
        <f t="shared" si="194"/>
        <v>2415</v>
      </c>
      <c r="V902" s="250">
        <v>2415</v>
      </c>
      <c r="W902" s="250">
        <v>2415</v>
      </c>
      <c r="X902" s="250">
        <v>2415</v>
      </c>
      <c r="Y902" s="293">
        <v>2300</v>
      </c>
      <c r="Z902" s="294"/>
      <c r="AA902" s="251"/>
      <c r="AB902" s="251"/>
    </row>
    <row r="903" spans="1:28" s="295" customFormat="1" ht="31.5">
      <c r="A903" s="284">
        <v>731</v>
      </c>
      <c r="B903" s="284" t="s">
        <v>764</v>
      </c>
      <c r="C903" s="284" t="s">
        <v>412</v>
      </c>
      <c r="D903" s="284" t="s">
        <v>3690</v>
      </c>
      <c r="E903" s="285" t="s">
        <v>18</v>
      </c>
      <c r="F903" s="286" t="s">
        <v>413</v>
      </c>
      <c r="G903" s="284">
        <v>200</v>
      </c>
      <c r="H903" s="284">
        <v>14</v>
      </c>
      <c r="I903" s="284">
        <v>0.95</v>
      </c>
      <c r="J903" s="287">
        <f t="shared" si="191"/>
        <v>9975</v>
      </c>
      <c r="K903" s="301">
        <v>3</v>
      </c>
      <c r="L903" s="289">
        <f t="shared" si="192"/>
        <v>2250</v>
      </c>
      <c r="M903" s="301">
        <v>4</v>
      </c>
      <c r="N903" s="289">
        <f t="shared" si="193"/>
        <v>3000</v>
      </c>
      <c r="O903" s="302">
        <v>3.8</v>
      </c>
      <c r="P903" s="272" t="s">
        <v>433</v>
      </c>
      <c r="Q903" s="288">
        <v>1.07</v>
      </c>
      <c r="R903" s="289">
        <f>O903*dien*Q903</f>
        <v>4631.174</v>
      </c>
      <c r="S903" s="284"/>
      <c r="T903" s="296"/>
      <c r="U903" s="250">
        <f t="shared" si="194"/>
        <v>19856</v>
      </c>
      <c r="V903" s="250">
        <v>19856</v>
      </c>
      <c r="W903" s="250">
        <v>19856</v>
      </c>
      <c r="X903" s="250">
        <v>19856</v>
      </c>
      <c r="Y903" s="293">
        <v>15000</v>
      </c>
      <c r="Z903" s="294"/>
      <c r="AA903" s="251"/>
      <c r="AB903" s="251"/>
    </row>
    <row r="904" spans="1:28" s="295" customFormat="1" ht="15.75">
      <c r="A904" s="284">
        <v>732</v>
      </c>
      <c r="B904" s="284" t="s">
        <v>766</v>
      </c>
      <c r="C904" s="284" t="s">
        <v>414</v>
      </c>
      <c r="D904" s="284" t="s">
        <v>3691</v>
      </c>
      <c r="E904" s="285" t="s">
        <v>415</v>
      </c>
      <c r="F904" s="286" t="s">
        <v>415</v>
      </c>
      <c r="G904" s="284">
        <v>200</v>
      </c>
      <c r="H904" s="284">
        <v>14</v>
      </c>
      <c r="I904" s="284">
        <v>0.95</v>
      </c>
      <c r="J904" s="287">
        <f t="shared" si="191"/>
        <v>95095.00000000001</v>
      </c>
      <c r="K904" s="301">
        <v>2.2</v>
      </c>
      <c r="L904" s="289">
        <f t="shared" si="192"/>
        <v>15730.000000000002</v>
      </c>
      <c r="M904" s="301">
        <v>4</v>
      </c>
      <c r="N904" s="289">
        <f t="shared" si="193"/>
        <v>28600</v>
      </c>
      <c r="O904" s="302"/>
      <c r="P904" s="272"/>
      <c r="Q904" s="288"/>
      <c r="R904" s="289">
        <f>O904*dien*Q904</f>
        <v>0</v>
      </c>
      <c r="S904" s="284"/>
      <c r="T904" s="296"/>
      <c r="U904" s="250">
        <f t="shared" si="194"/>
        <v>139425</v>
      </c>
      <c r="V904" s="250">
        <v>139425</v>
      </c>
      <c r="W904" s="250">
        <v>139425</v>
      </c>
      <c r="X904" s="250">
        <v>139425</v>
      </c>
      <c r="Y904" s="293">
        <v>143000</v>
      </c>
      <c r="Z904" s="294"/>
      <c r="AA904" s="251"/>
      <c r="AB904" s="251"/>
    </row>
    <row r="905" spans="1:28" s="295" customFormat="1" ht="15.75">
      <c r="A905" s="284">
        <v>733</v>
      </c>
      <c r="B905" s="284">
        <v>0</v>
      </c>
      <c r="C905" s="284" t="s">
        <v>416</v>
      </c>
      <c r="D905" s="284" t="s">
        <v>3692</v>
      </c>
      <c r="E905" s="285" t="s">
        <v>417</v>
      </c>
      <c r="F905" s="286" t="s">
        <v>417</v>
      </c>
      <c r="G905" s="284">
        <v>200</v>
      </c>
      <c r="H905" s="284">
        <v>14</v>
      </c>
      <c r="I905" s="284">
        <v>0.95</v>
      </c>
      <c r="J905" s="287">
        <f t="shared" si="191"/>
        <v>452333</v>
      </c>
      <c r="K905" s="301">
        <v>1.6</v>
      </c>
      <c r="L905" s="289">
        <f t="shared" si="192"/>
        <v>54416.00000000001</v>
      </c>
      <c r="M905" s="301">
        <v>4</v>
      </c>
      <c r="N905" s="289">
        <f t="shared" si="193"/>
        <v>136040</v>
      </c>
      <c r="O905" s="302">
        <v>4.5</v>
      </c>
      <c r="P905" s="272" t="s">
        <v>433</v>
      </c>
      <c r="Q905" s="288">
        <v>1.07</v>
      </c>
      <c r="R905" s="289">
        <f>+(O905*$AA$2)*(1+$AA$3)</f>
        <v>90634.09950000001</v>
      </c>
      <c r="S905" s="284"/>
      <c r="T905" s="296"/>
      <c r="U905" s="250">
        <v>648273</v>
      </c>
      <c r="V905" s="250">
        <v>648273</v>
      </c>
      <c r="W905" s="250">
        <v>648273</v>
      </c>
      <c r="X905" s="250">
        <v>648273</v>
      </c>
      <c r="Y905" s="293">
        <v>680200</v>
      </c>
      <c r="Z905" s="294"/>
      <c r="AA905" s="251"/>
      <c r="AB905" s="251"/>
    </row>
    <row r="906" spans="1:28" s="295" customFormat="1" ht="15.75">
      <c r="A906" s="284">
        <v>734</v>
      </c>
      <c r="B906" s="284" t="s">
        <v>769</v>
      </c>
      <c r="C906" s="284" t="s">
        <v>418</v>
      </c>
      <c r="D906" s="284" t="s">
        <v>3693</v>
      </c>
      <c r="E906" s="285" t="s">
        <v>19</v>
      </c>
      <c r="F906" s="286" t="s">
        <v>419</v>
      </c>
      <c r="G906" s="284">
        <v>200</v>
      </c>
      <c r="H906" s="284">
        <v>14</v>
      </c>
      <c r="I906" s="284">
        <v>0.95</v>
      </c>
      <c r="J906" s="287">
        <f t="shared" si="191"/>
        <v>10373.999999999998</v>
      </c>
      <c r="K906" s="301">
        <v>3</v>
      </c>
      <c r="L906" s="289">
        <f t="shared" si="192"/>
        <v>2340</v>
      </c>
      <c r="M906" s="301">
        <v>4</v>
      </c>
      <c r="N906" s="289">
        <f t="shared" si="193"/>
        <v>3120</v>
      </c>
      <c r="O906" s="302">
        <v>1.9</v>
      </c>
      <c r="P906" s="272" t="s">
        <v>433</v>
      </c>
      <c r="Q906" s="288">
        <v>1.07</v>
      </c>
      <c r="R906" s="289">
        <f aca="true" t="shared" si="196" ref="R906:R912">O906*dien*Q906</f>
        <v>2315.587</v>
      </c>
      <c r="S906" s="284"/>
      <c r="T906" s="296"/>
      <c r="U906" s="250">
        <f t="shared" si="194"/>
        <v>18150</v>
      </c>
      <c r="V906" s="250">
        <v>18150</v>
      </c>
      <c r="W906" s="250">
        <v>18150</v>
      </c>
      <c r="X906" s="250">
        <v>18150</v>
      </c>
      <c r="Y906" s="293">
        <v>15600</v>
      </c>
      <c r="Z906" s="294"/>
      <c r="AA906" s="251"/>
      <c r="AB906" s="251"/>
    </row>
    <row r="907" spans="1:28" s="295" customFormat="1" ht="15.75">
      <c r="A907" s="284">
        <v>735</v>
      </c>
      <c r="B907" s="284" t="s">
        <v>755</v>
      </c>
      <c r="C907" s="284" t="s">
        <v>420</v>
      </c>
      <c r="D907" s="284" t="s">
        <v>3694</v>
      </c>
      <c r="E907" s="285" t="s">
        <v>421</v>
      </c>
      <c r="F907" s="286" t="s">
        <v>421</v>
      </c>
      <c r="G907" s="284">
        <v>200</v>
      </c>
      <c r="H907" s="284">
        <v>14</v>
      </c>
      <c r="I907" s="284">
        <v>1</v>
      </c>
      <c r="J907" s="287">
        <f t="shared" si="191"/>
        <v>4760.000000000001</v>
      </c>
      <c r="K907" s="301">
        <v>2.2</v>
      </c>
      <c r="L907" s="289">
        <f t="shared" si="192"/>
        <v>748.0000000000001</v>
      </c>
      <c r="M907" s="301">
        <v>4</v>
      </c>
      <c r="N907" s="289">
        <f t="shared" si="193"/>
        <v>1360</v>
      </c>
      <c r="O907" s="302"/>
      <c r="P907" s="272"/>
      <c r="Q907" s="288"/>
      <c r="R907" s="289">
        <f t="shared" si="196"/>
        <v>0</v>
      </c>
      <c r="S907" s="284"/>
      <c r="T907" s="296"/>
      <c r="U907" s="250">
        <f t="shared" si="194"/>
        <v>6868</v>
      </c>
      <c r="V907" s="250">
        <v>6868</v>
      </c>
      <c r="W907" s="250">
        <v>6868</v>
      </c>
      <c r="X907" s="250">
        <v>6868</v>
      </c>
      <c r="Y907" s="293">
        <v>6800</v>
      </c>
      <c r="Z907" s="294"/>
      <c r="AA907" s="251"/>
      <c r="AB907" s="251"/>
    </row>
    <row r="908" spans="1:28" s="295" customFormat="1" ht="31.5">
      <c r="A908" s="284">
        <v>736</v>
      </c>
      <c r="B908" s="284" t="s">
        <v>770</v>
      </c>
      <c r="C908" s="284" t="s">
        <v>422</v>
      </c>
      <c r="D908" s="284" t="s">
        <v>3695</v>
      </c>
      <c r="E908" s="285" t="s">
        <v>20</v>
      </c>
      <c r="F908" s="286" t="s">
        <v>423</v>
      </c>
      <c r="G908" s="284">
        <v>200</v>
      </c>
      <c r="H908" s="284">
        <v>14</v>
      </c>
      <c r="I908" s="284">
        <v>0.95</v>
      </c>
      <c r="J908" s="287">
        <f t="shared" si="191"/>
        <v>96824.00000000001</v>
      </c>
      <c r="K908" s="301">
        <v>2.2</v>
      </c>
      <c r="L908" s="289">
        <f t="shared" si="192"/>
        <v>16016.000000000002</v>
      </c>
      <c r="M908" s="301">
        <v>4</v>
      </c>
      <c r="N908" s="289">
        <f t="shared" si="193"/>
        <v>29120</v>
      </c>
      <c r="O908" s="302">
        <v>7.2</v>
      </c>
      <c r="P908" s="272" t="s">
        <v>433</v>
      </c>
      <c r="Q908" s="288">
        <v>1.07</v>
      </c>
      <c r="R908" s="289">
        <f t="shared" si="196"/>
        <v>8774.856000000002</v>
      </c>
      <c r="S908" s="284"/>
      <c r="T908" s="296"/>
      <c r="U908" s="250">
        <f t="shared" si="194"/>
        <v>150735</v>
      </c>
      <c r="V908" s="250">
        <v>150735</v>
      </c>
      <c r="W908" s="250">
        <v>150735</v>
      </c>
      <c r="X908" s="250">
        <v>150735</v>
      </c>
      <c r="Y908" s="293">
        <v>145600</v>
      </c>
      <c r="Z908" s="294"/>
      <c r="AA908" s="251"/>
      <c r="AB908" s="251"/>
    </row>
    <row r="909" spans="1:28" s="295" customFormat="1" ht="47.25">
      <c r="A909" s="284">
        <v>737</v>
      </c>
      <c r="B909" s="284" t="s">
        <v>763</v>
      </c>
      <c r="C909" s="284" t="s">
        <v>424</v>
      </c>
      <c r="D909" s="284" t="s">
        <v>3696</v>
      </c>
      <c r="E909" s="285" t="s">
        <v>21</v>
      </c>
      <c r="F909" s="286" t="s">
        <v>425</v>
      </c>
      <c r="G909" s="284">
        <v>200</v>
      </c>
      <c r="H909" s="284">
        <v>14</v>
      </c>
      <c r="I909" s="284">
        <v>0.95</v>
      </c>
      <c r="J909" s="287">
        <f t="shared" si="191"/>
        <v>42094.5</v>
      </c>
      <c r="K909" s="301">
        <v>3.5</v>
      </c>
      <c r="L909" s="289">
        <f t="shared" si="192"/>
        <v>11077.5</v>
      </c>
      <c r="M909" s="301">
        <v>4</v>
      </c>
      <c r="N909" s="289">
        <f t="shared" si="193"/>
        <v>12660</v>
      </c>
      <c r="O909" s="302">
        <v>6.5</v>
      </c>
      <c r="P909" s="272" t="s">
        <v>433</v>
      </c>
      <c r="Q909" s="288">
        <v>1.07</v>
      </c>
      <c r="R909" s="289">
        <f t="shared" si="196"/>
        <v>7921.745000000001</v>
      </c>
      <c r="S909" s="284"/>
      <c r="T909" s="296"/>
      <c r="U909" s="250">
        <f t="shared" si="194"/>
        <v>73754</v>
      </c>
      <c r="V909" s="250">
        <v>73754</v>
      </c>
      <c r="W909" s="250">
        <v>73754</v>
      </c>
      <c r="X909" s="250">
        <v>73754</v>
      </c>
      <c r="Y909" s="293">
        <v>63300</v>
      </c>
      <c r="Z909" s="294"/>
      <c r="AA909" s="251"/>
      <c r="AB909" s="251"/>
    </row>
    <row r="910" spans="1:28" s="295" customFormat="1" ht="15.75">
      <c r="A910" s="284">
        <v>738</v>
      </c>
      <c r="B910" s="284" t="s">
        <v>772</v>
      </c>
      <c r="C910" s="284" t="s">
        <v>426</v>
      </c>
      <c r="D910" s="284" t="s">
        <v>3697</v>
      </c>
      <c r="E910" s="285" t="s">
        <v>427</v>
      </c>
      <c r="F910" s="286" t="s">
        <v>427</v>
      </c>
      <c r="G910" s="284">
        <v>200</v>
      </c>
      <c r="H910" s="284">
        <v>14</v>
      </c>
      <c r="I910" s="284">
        <v>0.95</v>
      </c>
      <c r="J910" s="287">
        <f t="shared" si="191"/>
        <v>38902.5</v>
      </c>
      <c r="K910" s="301">
        <v>3.5</v>
      </c>
      <c r="L910" s="289">
        <f t="shared" si="192"/>
        <v>10237.5</v>
      </c>
      <c r="M910" s="301">
        <v>4</v>
      </c>
      <c r="N910" s="289">
        <f t="shared" si="193"/>
        <v>11700</v>
      </c>
      <c r="O910" s="302">
        <v>4.8</v>
      </c>
      <c r="P910" s="272" t="s">
        <v>433</v>
      </c>
      <c r="Q910" s="288">
        <v>1.07</v>
      </c>
      <c r="R910" s="289">
        <f t="shared" si="196"/>
        <v>5849.904</v>
      </c>
      <c r="S910" s="284"/>
      <c r="T910" s="296"/>
      <c r="U910" s="250">
        <f t="shared" si="194"/>
        <v>66690</v>
      </c>
      <c r="V910" s="250">
        <v>66690</v>
      </c>
      <c r="W910" s="250">
        <v>66690</v>
      </c>
      <c r="X910" s="250">
        <v>66690</v>
      </c>
      <c r="Y910" s="293">
        <v>58500</v>
      </c>
      <c r="Z910" s="294"/>
      <c r="AA910" s="251"/>
      <c r="AB910" s="251"/>
    </row>
    <row r="911" spans="1:28" s="295" customFormat="1" ht="31.5">
      <c r="A911" s="284">
        <v>739</v>
      </c>
      <c r="B911" s="284">
        <v>0</v>
      </c>
      <c r="C911" s="284" t="s">
        <v>428</v>
      </c>
      <c r="D911" s="284" t="s">
        <v>3698</v>
      </c>
      <c r="E911" s="285" t="s">
        <v>429</v>
      </c>
      <c r="F911" s="286" t="s">
        <v>429</v>
      </c>
      <c r="G911" s="284">
        <v>200</v>
      </c>
      <c r="H911" s="284">
        <v>14</v>
      </c>
      <c r="I911" s="284">
        <v>1</v>
      </c>
      <c r="J911" s="287">
        <f t="shared" si="191"/>
        <v>6300.000000000001</v>
      </c>
      <c r="K911" s="301">
        <v>4.2</v>
      </c>
      <c r="L911" s="289">
        <f t="shared" si="192"/>
        <v>1890</v>
      </c>
      <c r="M911" s="301">
        <v>4</v>
      </c>
      <c r="N911" s="289">
        <f t="shared" si="193"/>
        <v>1800</v>
      </c>
      <c r="O911" s="302">
        <v>7.2</v>
      </c>
      <c r="P911" s="272" t="s">
        <v>433</v>
      </c>
      <c r="Q911" s="288">
        <v>1.07</v>
      </c>
      <c r="R911" s="289">
        <f t="shared" si="196"/>
        <v>8774.856000000002</v>
      </c>
      <c r="S911" s="284"/>
      <c r="T911" s="296"/>
      <c r="U911" s="250">
        <f t="shared" si="194"/>
        <v>18765</v>
      </c>
      <c r="V911" s="250">
        <v>18765</v>
      </c>
      <c r="W911" s="250">
        <v>18765</v>
      </c>
      <c r="X911" s="250">
        <v>18765</v>
      </c>
      <c r="Y911" s="293">
        <v>9000</v>
      </c>
      <c r="Z911" s="294"/>
      <c r="AA911" s="251"/>
      <c r="AB911" s="251"/>
    </row>
    <row r="912" spans="1:28" s="295" customFormat="1" ht="15.75">
      <c r="A912" s="284">
        <v>740</v>
      </c>
      <c r="B912" s="284" t="s">
        <v>774</v>
      </c>
      <c r="C912" s="284" t="s">
        <v>430</v>
      </c>
      <c r="D912" s="284" t="s">
        <v>3699</v>
      </c>
      <c r="E912" s="285" t="s">
        <v>22</v>
      </c>
      <c r="F912" s="286" t="s">
        <v>869</v>
      </c>
      <c r="G912" s="284">
        <v>200</v>
      </c>
      <c r="H912" s="284">
        <v>14</v>
      </c>
      <c r="I912" s="284">
        <v>0.95</v>
      </c>
      <c r="J912" s="287">
        <f t="shared" si="191"/>
        <v>10373.999999999998</v>
      </c>
      <c r="K912" s="301">
        <v>3</v>
      </c>
      <c r="L912" s="289">
        <f t="shared" si="192"/>
        <v>2340</v>
      </c>
      <c r="M912" s="301">
        <v>4</v>
      </c>
      <c r="N912" s="289">
        <f t="shared" si="193"/>
        <v>3120</v>
      </c>
      <c r="O912" s="302">
        <v>0.8</v>
      </c>
      <c r="P912" s="272" t="s">
        <v>433</v>
      </c>
      <c r="Q912" s="288">
        <v>1.07</v>
      </c>
      <c r="R912" s="289">
        <f t="shared" si="196"/>
        <v>974.9840000000002</v>
      </c>
      <c r="S912" s="284"/>
      <c r="T912" s="296"/>
      <c r="U912" s="250">
        <f>ROUND((J912+L912+N912+R912+T912),0)-1</f>
        <v>16808</v>
      </c>
      <c r="V912" s="250">
        <v>16808</v>
      </c>
      <c r="W912" s="250">
        <v>16808</v>
      </c>
      <c r="X912" s="250">
        <v>16808</v>
      </c>
      <c r="Y912" s="293">
        <v>15600</v>
      </c>
      <c r="Z912" s="294"/>
      <c r="AA912" s="251"/>
      <c r="AB912" s="251"/>
    </row>
    <row r="913" spans="1:28" s="295" customFormat="1" ht="15.75">
      <c r="A913" s="284">
        <v>741</v>
      </c>
      <c r="B913" s="284">
        <v>0</v>
      </c>
      <c r="C913" s="284" t="s">
        <v>870</v>
      </c>
      <c r="D913" s="284" t="s">
        <v>3700</v>
      </c>
      <c r="E913" s="285" t="s">
        <v>871</v>
      </c>
      <c r="F913" s="286" t="s">
        <v>871</v>
      </c>
      <c r="G913" s="284">
        <v>200</v>
      </c>
      <c r="H913" s="284">
        <v>14</v>
      </c>
      <c r="I913" s="284">
        <v>0.95</v>
      </c>
      <c r="J913" s="287">
        <f t="shared" si="191"/>
        <v>153548.5</v>
      </c>
      <c r="K913" s="301">
        <v>2.2</v>
      </c>
      <c r="L913" s="289">
        <f t="shared" si="192"/>
        <v>25399</v>
      </c>
      <c r="M913" s="301">
        <v>4</v>
      </c>
      <c r="N913" s="289">
        <f t="shared" si="193"/>
        <v>46180</v>
      </c>
      <c r="O913" s="302"/>
      <c r="P913" s="272"/>
      <c r="Q913" s="288"/>
      <c r="R913" s="289">
        <f>+(O913*$AA$2)*(1+$AA$3)</f>
        <v>0</v>
      </c>
      <c r="S913" s="284"/>
      <c r="T913" s="296"/>
      <c r="U913" s="250">
        <f t="shared" si="194"/>
        <v>225128</v>
      </c>
      <c r="V913" s="250">
        <v>225128</v>
      </c>
      <c r="W913" s="250">
        <v>225128</v>
      </c>
      <c r="X913" s="250">
        <v>225128</v>
      </c>
      <c r="Y913" s="293">
        <v>230900</v>
      </c>
      <c r="Z913" s="294"/>
      <c r="AA913" s="251"/>
      <c r="AB913" s="251"/>
    </row>
    <row r="914" spans="1:28" s="295" customFormat="1" ht="15.75">
      <c r="A914" s="284">
        <v>742</v>
      </c>
      <c r="B914" s="284" t="s">
        <v>767</v>
      </c>
      <c r="C914" s="284" t="s">
        <v>872</v>
      </c>
      <c r="D914" s="284" t="s">
        <v>3701</v>
      </c>
      <c r="E914" s="285" t="s">
        <v>873</v>
      </c>
      <c r="F914" s="286" t="s">
        <v>873</v>
      </c>
      <c r="G914" s="284">
        <v>200</v>
      </c>
      <c r="H914" s="284">
        <v>14</v>
      </c>
      <c r="I914" s="284">
        <v>0.95</v>
      </c>
      <c r="J914" s="287">
        <f t="shared" si="191"/>
        <v>45818.5</v>
      </c>
      <c r="K914" s="301">
        <v>2.5</v>
      </c>
      <c r="L914" s="289">
        <f t="shared" si="192"/>
        <v>8612.5</v>
      </c>
      <c r="M914" s="301">
        <v>4</v>
      </c>
      <c r="N914" s="289">
        <f t="shared" si="193"/>
        <v>13780</v>
      </c>
      <c r="O914" s="302">
        <v>4.1</v>
      </c>
      <c r="P914" s="272" t="s">
        <v>433</v>
      </c>
      <c r="Q914" s="288">
        <v>1.07</v>
      </c>
      <c r="R914" s="289">
        <f>O914*dien*Q914</f>
        <v>4996.793</v>
      </c>
      <c r="S914" s="284"/>
      <c r="T914" s="296"/>
      <c r="U914" s="250">
        <f t="shared" si="194"/>
        <v>73208</v>
      </c>
      <c r="V914" s="250">
        <v>73208</v>
      </c>
      <c r="W914" s="250">
        <v>73208</v>
      </c>
      <c r="X914" s="250">
        <v>73208</v>
      </c>
      <c r="Y914" s="293">
        <v>68900</v>
      </c>
      <c r="Z914" s="294"/>
      <c r="AA914" s="251"/>
      <c r="AB914" s="251"/>
    </row>
    <row r="915" spans="1:28" s="295" customFormat="1" ht="31.5">
      <c r="A915" s="284">
        <v>743</v>
      </c>
      <c r="B915" s="284" t="s">
        <v>778</v>
      </c>
      <c r="C915" s="284" t="s">
        <v>874</v>
      </c>
      <c r="D915" s="284" t="s">
        <v>3702</v>
      </c>
      <c r="E915" s="285" t="s">
        <v>3135</v>
      </c>
      <c r="F915" s="286" t="s">
        <v>875</v>
      </c>
      <c r="G915" s="284">
        <v>200</v>
      </c>
      <c r="H915" s="284">
        <v>14</v>
      </c>
      <c r="I915" s="284">
        <v>1</v>
      </c>
      <c r="J915" s="287">
        <f t="shared" si="191"/>
        <v>5110</v>
      </c>
      <c r="K915" s="301">
        <v>3.5</v>
      </c>
      <c r="L915" s="289">
        <f t="shared" si="192"/>
        <v>1277.5</v>
      </c>
      <c r="M915" s="301">
        <v>4</v>
      </c>
      <c r="N915" s="289">
        <f t="shared" si="193"/>
        <v>1460</v>
      </c>
      <c r="O915" s="302"/>
      <c r="P915" s="272"/>
      <c r="Q915" s="288"/>
      <c r="R915" s="289">
        <f>+(O915*$AA$2)*(1+$AA$3)</f>
        <v>0</v>
      </c>
      <c r="S915" s="284"/>
      <c r="T915" s="296"/>
      <c r="U915" s="250">
        <f t="shared" si="194"/>
        <v>7848</v>
      </c>
      <c r="V915" s="250">
        <v>7848</v>
      </c>
      <c r="W915" s="250">
        <v>7848</v>
      </c>
      <c r="X915" s="250">
        <v>7848</v>
      </c>
      <c r="Y915" s="293">
        <v>7300</v>
      </c>
      <c r="Z915" s="294"/>
      <c r="AA915" s="251"/>
      <c r="AB915" s="251"/>
    </row>
    <row r="916" spans="1:28" s="295" customFormat="1" ht="31.5">
      <c r="A916" s="284">
        <v>744</v>
      </c>
      <c r="B916" s="284">
        <v>0</v>
      </c>
      <c r="C916" s="284" t="s">
        <v>876</v>
      </c>
      <c r="D916" s="284" t="s">
        <v>3703</v>
      </c>
      <c r="E916" s="285" t="s">
        <v>3136</v>
      </c>
      <c r="F916" s="286" t="s">
        <v>877</v>
      </c>
      <c r="G916" s="284">
        <v>200</v>
      </c>
      <c r="H916" s="284">
        <v>14</v>
      </c>
      <c r="I916" s="284">
        <v>1</v>
      </c>
      <c r="J916" s="287">
        <f t="shared" si="191"/>
        <v>4760.000000000001</v>
      </c>
      <c r="K916" s="301">
        <v>3.5</v>
      </c>
      <c r="L916" s="289">
        <f t="shared" si="192"/>
        <v>1190.0000000000002</v>
      </c>
      <c r="M916" s="301">
        <v>4</v>
      </c>
      <c r="N916" s="289">
        <f t="shared" si="193"/>
        <v>1360</v>
      </c>
      <c r="O916" s="302"/>
      <c r="P916" s="272"/>
      <c r="Q916" s="288"/>
      <c r="R916" s="289">
        <f>+(O916*$AA$2)*(1+$AA$3)</f>
        <v>0</v>
      </c>
      <c r="S916" s="284"/>
      <c r="T916" s="296"/>
      <c r="U916" s="250">
        <f t="shared" si="194"/>
        <v>7310</v>
      </c>
      <c r="V916" s="250">
        <v>7310</v>
      </c>
      <c r="W916" s="250">
        <v>7310</v>
      </c>
      <c r="X916" s="250">
        <v>7310</v>
      </c>
      <c r="Y916" s="293">
        <v>6800</v>
      </c>
      <c r="Z916" s="294"/>
      <c r="AA916" s="251"/>
      <c r="AB916" s="251"/>
    </row>
    <row r="917" spans="1:28" s="295" customFormat="1" ht="31.5">
      <c r="A917" s="284">
        <v>745</v>
      </c>
      <c r="B917" s="284">
        <v>0</v>
      </c>
      <c r="C917" s="284" t="s">
        <v>878</v>
      </c>
      <c r="D917" s="284" t="s">
        <v>3704</v>
      </c>
      <c r="E917" s="285" t="s">
        <v>3137</v>
      </c>
      <c r="F917" s="286" t="s">
        <v>879</v>
      </c>
      <c r="G917" s="284">
        <v>200</v>
      </c>
      <c r="H917" s="284">
        <v>14</v>
      </c>
      <c r="I917" s="284">
        <v>1</v>
      </c>
      <c r="J917" s="287">
        <f t="shared" si="191"/>
        <v>13090.000000000002</v>
      </c>
      <c r="K917" s="301">
        <v>3.5</v>
      </c>
      <c r="L917" s="289">
        <f t="shared" si="192"/>
        <v>3272.5000000000005</v>
      </c>
      <c r="M917" s="301">
        <v>4</v>
      </c>
      <c r="N917" s="289">
        <f t="shared" si="193"/>
        <v>3740</v>
      </c>
      <c r="O917" s="302"/>
      <c r="P917" s="272"/>
      <c r="Q917" s="288"/>
      <c r="R917" s="289">
        <f>O917*dien*Q917</f>
        <v>0</v>
      </c>
      <c r="S917" s="284"/>
      <c r="T917" s="296"/>
      <c r="U917" s="250">
        <v>19448</v>
      </c>
      <c r="V917" s="250">
        <v>19448</v>
      </c>
      <c r="W917" s="250">
        <v>19448</v>
      </c>
      <c r="X917" s="250">
        <v>19448</v>
      </c>
      <c r="Y917" s="293">
        <v>18700</v>
      </c>
      <c r="Z917" s="294"/>
      <c r="AA917" s="251"/>
      <c r="AB917" s="251"/>
    </row>
    <row r="918" spans="1:28" s="295" customFormat="1" ht="31.5">
      <c r="A918" s="284">
        <v>746</v>
      </c>
      <c r="B918" s="284">
        <v>0</v>
      </c>
      <c r="C918" s="284" t="s">
        <v>880</v>
      </c>
      <c r="D918" s="284" t="s">
        <v>3705</v>
      </c>
      <c r="E918" s="285" t="s">
        <v>3138</v>
      </c>
      <c r="F918" s="286" t="s">
        <v>881</v>
      </c>
      <c r="G918" s="284">
        <v>200</v>
      </c>
      <c r="H918" s="284">
        <v>14</v>
      </c>
      <c r="I918" s="284">
        <v>0.95</v>
      </c>
      <c r="J918" s="287">
        <f t="shared" si="191"/>
        <v>20681.5</v>
      </c>
      <c r="K918" s="301">
        <v>3.5</v>
      </c>
      <c r="L918" s="289">
        <f t="shared" si="192"/>
        <v>5442.5</v>
      </c>
      <c r="M918" s="301">
        <v>4</v>
      </c>
      <c r="N918" s="289">
        <f t="shared" si="193"/>
        <v>6220</v>
      </c>
      <c r="O918" s="302"/>
      <c r="P918" s="272"/>
      <c r="Q918" s="288"/>
      <c r="R918" s="289">
        <f>O918*dien*Q918</f>
        <v>0</v>
      </c>
      <c r="S918" s="284"/>
      <c r="T918" s="296"/>
      <c r="U918" s="250">
        <f t="shared" si="194"/>
        <v>32344</v>
      </c>
      <c r="V918" s="250">
        <v>32344</v>
      </c>
      <c r="W918" s="250">
        <v>32344</v>
      </c>
      <c r="X918" s="250">
        <v>32344</v>
      </c>
      <c r="Y918" s="293">
        <v>31100</v>
      </c>
      <c r="Z918" s="294"/>
      <c r="AA918" s="251"/>
      <c r="AB918" s="251"/>
    </row>
    <row r="919" spans="1:28" s="295" customFormat="1" ht="31.5">
      <c r="A919" s="284">
        <v>747</v>
      </c>
      <c r="B919" s="284">
        <v>0</v>
      </c>
      <c r="C919" s="284" t="s">
        <v>882</v>
      </c>
      <c r="D919" s="284" t="s">
        <v>3706</v>
      </c>
      <c r="E919" s="285" t="s">
        <v>3139</v>
      </c>
      <c r="F919" s="286" t="s">
        <v>883</v>
      </c>
      <c r="G919" s="284">
        <v>200</v>
      </c>
      <c r="H919" s="284">
        <v>14</v>
      </c>
      <c r="I919" s="284">
        <v>0.95</v>
      </c>
      <c r="J919" s="287">
        <f t="shared" si="191"/>
        <v>27664</v>
      </c>
      <c r="K919" s="301">
        <v>3.5</v>
      </c>
      <c r="L919" s="289">
        <f t="shared" si="192"/>
        <v>7280.000000000001</v>
      </c>
      <c r="M919" s="301">
        <v>4</v>
      </c>
      <c r="N919" s="289">
        <f t="shared" si="193"/>
        <v>8320</v>
      </c>
      <c r="O919" s="302"/>
      <c r="P919" s="272"/>
      <c r="Q919" s="288"/>
      <c r="R919" s="289">
        <f aca="true" t="shared" si="197" ref="R919:R924">+(O919*$AA$2)*(1+$AA$3)</f>
        <v>0</v>
      </c>
      <c r="S919" s="284"/>
      <c r="T919" s="296"/>
      <c r="U919" s="250">
        <f t="shared" si="194"/>
        <v>43264</v>
      </c>
      <c r="V919" s="250">
        <v>43264</v>
      </c>
      <c r="W919" s="250">
        <v>43264</v>
      </c>
      <c r="X919" s="250">
        <v>43264</v>
      </c>
      <c r="Y919" s="293">
        <v>41600</v>
      </c>
      <c r="Z919" s="294"/>
      <c r="AA919" s="251"/>
      <c r="AB919" s="251"/>
    </row>
    <row r="920" spans="1:28" s="295" customFormat="1" ht="31.5">
      <c r="A920" s="284">
        <v>748</v>
      </c>
      <c r="B920" s="284">
        <v>0</v>
      </c>
      <c r="C920" s="284" t="s">
        <v>884</v>
      </c>
      <c r="D920" s="284" t="s">
        <v>3707</v>
      </c>
      <c r="E920" s="285" t="s">
        <v>3140</v>
      </c>
      <c r="F920" s="286" t="s">
        <v>885</v>
      </c>
      <c r="G920" s="284">
        <v>200</v>
      </c>
      <c r="H920" s="284">
        <v>14</v>
      </c>
      <c r="I920" s="284">
        <v>0.95</v>
      </c>
      <c r="J920" s="287">
        <f t="shared" si="191"/>
        <v>30257.500000000004</v>
      </c>
      <c r="K920" s="301">
        <v>3.5</v>
      </c>
      <c r="L920" s="289">
        <f t="shared" si="192"/>
        <v>7962.500000000001</v>
      </c>
      <c r="M920" s="301">
        <v>4</v>
      </c>
      <c r="N920" s="289">
        <f t="shared" si="193"/>
        <v>9100</v>
      </c>
      <c r="O920" s="302"/>
      <c r="P920" s="272"/>
      <c r="Q920" s="288"/>
      <c r="R920" s="289">
        <f t="shared" si="197"/>
        <v>0</v>
      </c>
      <c r="S920" s="284"/>
      <c r="T920" s="296"/>
      <c r="U920" s="250">
        <f t="shared" si="194"/>
        <v>47320</v>
      </c>
      <c r="V920" s="250">
        <v>47320</v>
      </c>
      <c r="W920" s="250">
        <v>47320</v>
      </c>
      <c r="X920" s="250">
        <v>47320</v>
      </c>
      <c r="Y920" s="293">
        <v>45500</v>
      </c>
      <c r="Z920" s="294"/>
      <c r="AA920" s="251"/>
      <c r="AB920" s="251"/>
    </row>
    <row r="921" spans="1:28" s="295" customFormat="1" ht="31.5">
      <c r="A921" s="284">
        <v>749</v>
      </c>
      <c r="B921" s="284">
        <v>0</v>
      </c>
      <c r="C921" s="284" t="s">
        <v>886</v>
      </c>
      <c r="D921" s="284" t="s">
        <v>3708</v>
      </c>
      <c r="E921" s="285" t="s">
        <v>3141</v>
      </c>
      <c r="F921" s="286" t="s">
        <v>887</v>
      </c>
      <c r="G921" s="284">
        <v>200</v>
      </c>
      <c r="H921" s="284">
        <v>14</v>
      </c>
      <c r="I921" s="284">
        <v>0.95</v>
      </c>
      <c r="J921" s="287">
        <f t="shared" si="191"/>
        <v>16758.000000000004</v>
      </c>
      <c r="K921" s="301">
        <v>3.5</v>
      </c>
      <c r="L921" s="289">
        <f t="shared" si="192"/>
        <v>4410</v>
      </c>
      <c r="M921" s="301">
        <v>4</v>
      </c>
      <c r="N921" s="289">
        <f t="shared" si="193"/>
        <v>5040</v>
      </c>
      <c r="O921" s="302"/>
      <c r="P921" s="272"/>
      <c r="Q921" s="288"/>
      <c r="R921" s="289">
        <f t="shared" si="197"/>
        <v>0</v>
      </c>
      <c r="S921" s="284"/>
      <c r="T921" s="296"/>
      <c r="U921" s="250">
        <f t="shared" si="194"/>
        <v>26208</v>
      </c>
      <c r="V921" s="250">
        <v>26208</v>
      </c>
      <c r="W921" s="250">
        <v>26208</v>
      </c>
      <c r="X921" s="250">
        <v>26208</v>
      </c>
      <c r="Y921" s="293">
        <v>25200</v>
      </c>
      <c r="Z921" s="294"/>
      <c r="AA921" s="251"/>
      <c r="AB921" s="251"/>
    </row>
    <row r="922" spans="1:28" s="295" customFormat="1" ht="31.5">
      <c r="A922" s="284">
        <v>750</v>
      </c>
      <c r="B922" s="284">
        <v>0</v>
      </c>
      <c r="C922" s="284" t="s">
        <v>888</v>
      </c>
      <c r="D922" s="284" t="s">
        <v>3709</v>
      </c>
      <c r="E922" s="285" t="s">
        <v>3142</v>
      </c>
      <c r="F922" s="286" t="s">
        <v>889</v>
      </c>
      <c r="G922" s="284">
        <v>200</v>
      </c>
      <c r="H922" s="284">
        <v>14</v>
      </c>
      <c r="I922" s="284">
        <v>1</v>
      </c>
      <c r="J922" s="287">
        <f t="shared" si="191"/>
        <v>147350.00000000003</v>
      </c>
      <c r="K922" s="301">
        <v>2.2</v>
      </c>
      <c r="L922" s="289">
        <f t="shared" si="192"/>
        <v>23155.000000000004</v>
      </c>
      <c r="M922" s="301">
        <v>4</v>
      </c>
      <c r="N922" s="289">
        <f t="shared" si="193"/>
        <v>42100</v>
      </c>
      <c r="O922" s="302"/>
      <c r="P922" s="272"/>
      <c r="Q922" s="288"/>
      <c r="R922" s="289">
        <f t="shared" si="197"/>
        <v>0</v>
      </c>
      <c r="S922" s="284"/>
      <c r="T922" s="296"/>
      <c r="U922" s="250">
        <v>205238</v>
      </c>
      <c r="V922" s="250">
        <v>205238</v>
      </c>
      <c r="W922" s="250">
        <v>205238</v>
      </c>
      <c r="X922" s="250">
        <v>205238</v>
      </c>
      <c r="Y922" s="293">
        <v>210500</v>
      </c>
      <c r="Z922" s="294"/>
      <c r="AA922" s="251"/>
      <c r="AB922" s="251"/>
    </row>
    <row r="923" spans="1:28" s="295" customFormat="1" ht="15.75">
      <c r="A923" s="284">
        <v>751</v>
      </c>
      <c r="B923" s="284">
        <v>0</v>
      </c>
      <c r="C923" s="284" t="s">
        <v>890</v>
      </c>
      <c r="D923" s="284" t="s">
        <v>3710</v>
      </c>
      <c r="E923" s="285" t="s">
        <v>3143</v>
      </c>
      <c r="F923" s="286" t="s">
        <v>891</v>
      </c>
      <c r="G923" s="284">
        <v>200</v>
      </c>
      <c r="H923" s="284">
        <v>14</v>
      </c>
      <c r="I923" s="284">
        <v>0.95</v>
      </c>
      <c r="J923" s="287">
        <f t="shared" si="191"/>
        <v>21612.5</v>
      </c>
      <c r="K923" s="301">
        <v>3.5</v>
      </c>
      <c r="L923" s="289">
        <f t="shared" si="192"/>
        <v>5687.5</v>
      </c>
      <c r="M923" s="301">
        <v>4</v>
      </c>
      <c r="N923" s="289">
        <f t="shared" si="193"/>
        <v>6500</v>
      </c>
      <c r="O923" s="302"/>
      <c r="P923" s="272"/>
      <c r="Q923" s="288"/>
      <c r="R923" s="289">
        <f t="shared" si="197"/>
        <v>0</v>
      </c>
      <c r="S923" s="284"/>
      <c r="T923" s="296"/>
      <c r="U923" s="250">
        <f t="shared" si="194"/>
        <v>33800</v>
      </c>
      <c r="V923" s="250">
        <v>33800</v>
      </c>
      <c r="W923" s="250">
        <v>33800</v>
      </c>
      <c r="X923" s="250">
        <v>33800</v>
      </c>
      <c r="Y923" s="293">
        <v>32500</v>
      </c>
      <c r="Z923" s="294"/>
      <c r="AA923" s="251"/>
      <c r="AB923" s="251"/>
    </row>
    <row r="924" spans="1:28" s="295" customFormat="1" ht="47.25">
      <c r="A924" s="284">
        <v>752</v>
      </c>
      <c r="B924" s="284" t="s">
        <v>762</v>
      </c>
      <c r="C924" s="284" t="s">
        <v>892</v>
      </c>
      <c r="D924" s="284" t="s">
        <v>3711</v>
      </c>
      <c r="E924" s="285" t="s">
        <v>893</v>
      </c>
      <c r="F924" s="286" t="s">
        <v>893</v>
      </c>
      <c r="G924" s="284">
        <v>200</v>
      </c>
      <c r="H924" s="284">
        <v>14</v>
      </c>
      <c r="I924" s="284">
        <v>1</v>
      </c>
      <c r="J924" s="287">
        <f t="shared" si="191"/>
        <v>3850.0000000000005</v>
      </c>
      <c r="K924" s="301">
        <v>3.5</v>
      </c>
      <c r="L924" s="289">
        <f t="shared" si="192"/>
        <v>962.5000000000001</v>
      </c>
      <c r="M924" s="301">
        <v>4</v>
      </c>
      <c r="N924" s="289">
        <f t="shared" si="193"/>
        <v>1100</v>
      </c>
      <c r="O924" s="302"/>
      <c r="P924" s="272"/>
      <c r="Q924" s="288"/>
      <c r="R924" s="289">
        <f t="shared" si="197"/>
        <v>0</v>
      </c>
      <c r="S924" s="284"/>
      <c r="T924" s="296"/>
      <c r="U924" s="250">
        <f t="shared" si="194"/>
        <v>5913</v>
      </c>
      <c r="V924" s="250">
        <v>5913</v>
      </c>
      <c r="W924" s="250">
        <v>5913</v>
      </c>
      <c r="X924" s="250">
        <v>5913</v>
      </c>
      <c r="Y924" s="293">
        <v>5500</v>
      </c>
      <c r="Z924" s="294"/>
      <c r="AA924" s="251"/>
      <c r="AB924" s="251"/>
    </row>
    <row r="925" spans="1:28" s="295" customFormat="1" ht="31.5">
      <c r="A925" s="284">
        <v>753</v>
      </c>
      <c r="B925" s="284" t="s">
        <v>781</v>
      </c>
      <c r="C925" s="284" t="s">
        <v>894</v>
      </c>
      <c r="D925" s="284" t="s">
        <v>3712</v>
      </c>
      <c r="E925" s="285" t="s">
        <v>895</v>
      </c>
      <c r="F925" s="286" t="s">
        <v>895</v>
      </c>
      <c r="G925" s="284">
        <v>200</v>
      </c>
      <c r="H925" s="284">
        <v>14</v>
      </c>
      <c r="I925" s="284">
        <v>0.95</v>
      </c>
      <c r="J925" s="287">
        <f t="shared" si="191"/>
        <v>50141.00000000001</v>
      </c>
      <c r="K925" s="301">
        <v>2.5</v>
      </c>
      <c r="L925" s="289">
        <f t="shared" si="192"/>
        <v>9425</v>
      </c>
      <c r="M925" s="301">
        <v>4</v>
      </c>
      <c r="N925" s="289">
        <f t="shared" si="193"/>
        <v>15080</v>
      </c>
      <c r="O925" s="302"/>
      <c r="P925" s="272"/>
      <c r="Q925" s="288"/>
      <c r="R925" s="289">
        <f>O925*dien*Q925</f>
        <v>0</v>
      </c>
      <c r="S925" s="284"/>
      <c r="T925" s="296"/>
      <c r="U925" s="250">
        <f t="shared" si="194"/>
        <v>74646</v>
      </c>
      <c r="V925" s="250">
        <v>74646</v>
      </c>
      <c r="W925" s="250">
        <v>74646</v>
      </c>
      <c r="X925" s="250">
        <v>74646</v>
      </c>
      <c r="Y925" s="293">
        <v>75400</v>
      </c>
      <c r="Z925" s="294"/>
      <c r="AA925" s="251"/>
      <c r="AB925" s="251"/>
    </row>
    <row r="926" spans="1:28" s="295" customFormat="1" ht="15.75">
      <c r="A926" s="284">
        <v>754</v>
      </c>
      <c r="B926" s="284">
        <v>0</v>
      </c>
      <c r="C926" s="284" t="s">
        <v>896</v>
      </c>
      <c r="D926" s="284" t="s">
        <v>3713</v>
      </c>
      <c r="E926" s="285" t="s">
        <v>897</v>
      </c>
      <c r="F926" s="286" t="s">
        <v>897</v>
      </c>
      <c r="G926" s="284">
        <v>200</v>
      </c>
      <c r="H926" s="284">
        <v>14</v>
      </c>
      <c r="I926" s="284">
        <v>1</v>
      </c>
      <c r="J926" s="287">
        <f t="shared" si="191"/>
        <v>5670</v>
      </c>
      <c r="K926" s="301">
        <v>3.5</v>
      </c>
      <c r="L926" s="289">
        <f t="shared" si="192"/>
        <v>1417.5</v>
      </c>
      <c r="M926" s="301">
        <v>4</v>
      </c>
      <c r="N926" s="289">
        <f t="shared" si="193"/>
        <v>1620</v>
      </c>
      <c r="O926" s="302"/>
      <c r="P926" s="272"/>
      <c r="Q926" s="288"/>
      <c r="R926" s="289">
        <f>+(O926*$AA$2)*(1+$AA$3)</f>
        <v>0</v>
      </c>
      <c r="S926" s="284"/>
      <c r="T926" s="296"/>
      <c r="U926" s="250">
        <f t="shared" si="194"/>
        <v>8708</v>
      </c>
      <c r="V926" s="250">
        <v>8708</v>
      </c>
      <c r="W926" s="250">
        <v>8708</v>
      </c>
      <c r="X926" s="250">
        <v>8708</v>
      </c>
      <c r="Y926" s="293">
        <v>8100</v>
      </c>
      <c r="Z926" s="294"/>
      <c r="AA926" s="251"/>
      <c r="AB926" s="251"/>
    </row>
    <row r="927" spans="1:28" s="295" customFormat="1" ht="15.75">
      <c r="A927" s="284">
        <v>755</v>
      </c>
      <c r="B927" s="284">
        <v>0</v>
      </c>
      <c r="C927" s="284" t="s">
        <v>898</v>
      </c>
      <c r="D927" s="284" t="s">
        <v>3714</v>
      </c>
      <c r="E927" s="285" t="s">
        <v>3144</v>
      </c>
      <c r="F927" s="286" t="s">
        <v>899</v>
      </c>
      <c r="G927" s="284">
        <v>200</v>
      </c>
      <c r="H927" s="284">
        <v>14</v>
      </c>
      <c r="I927" s="284">
        <v>1</v>
      </c>
      <c r="J927" s="287">
        <f t="shared" si="191"/>
        <v>5110</v>
      </c>
      <c r="K927" s="301">
        <v>3.5</v>
      </c>
      <c r="L927" s="289">
        <f t="shared" si="192"/>
        <v>1277.5</v>
      </c>
      <c r="M927" s="301">
        <v>4</v>
      </c>
      <c r="N927" s="289">
        <f t="shared" si="193"/>
        <v>1460</v>
      </c>
      <c r="O927" s="302"/>
      <c r="P927" s="272"/>
      <c r="Q927" s="288"/>
      <c r="R927" s="289">
        <f>+(O927*$AA$2)*(1+$AA$3)</f>
        <v>0</v>
      </c>
      <c r="S927" s="284"/>
      <c r="T927" s="296"/>
      <c r="U927" s="250">
        <f t="shared" si="194"/>
        <v>7848</v>
      </c>
      <c r="V927" s="250">
        <v>7848</v>
      </c>
      <c r="W927" s="250">
        <v>7848</v>
      </c>
      <c r="X927" s="250">
        <v>7848</v>
      </c>
      <c r="Y927" s="293">
        <v>7300</v>
      </c>
      <c r="Z927" s="294"/>
      <c r="AA927" s="251"/>
      <c r="AB927" s="251"/>
    </row>
    <row r="928" spans="1:28" s="295" customFormat="1" ht="31.5">
      <c r="A928" s="284">
        <v>756</v>
      </c>
      <c r="B928" s="284">
        <v>0</v>
      </c>
      <c r="C928" s="284" t="s">
        <v>900</v>
      </c>
      <c r="D928" s="284" t="s">
        <v>3715</v>
      </c>
      <c r="E928" s="285" t="s">
        <v>901</v>
      </c>
      <c r="F928" s="286" t="s">
        <v>901</v>
      </c>
      <c r="G928" s="284">
        <v>200</v>
      </c>
      <c r="H928" s="284">
        <v>14</v>
      </c>
      <c r="I928" s="284">
        <v>0.95</v>
      </c>
      <c r="J928" s="287">
        <f t="shared" si="191"/>
        <v>62510.000000000015</v>
      </c>
      <c r="K928" s="301">
        <v>2.5</v>
      </c>
      <c r="L928" s="289">
        <f t="shared" si="192"/>
        <v>11750</v>
      </c>
      <c r="M928" s="301">
        <v>4</v>
      </c>
      <c r="N928" s="289">
        <f t="shared" si="193"/>
        <v>18800</v>
      </c>
      <c r="O928" s="302"/>
      <c r="P928" s="272"/>
      <c r="Q928" s="288"/>
      <c r="R928" s="289">
        <f>O928*dien*Q928</f>
        <v>0</v>
      </c>
      <c r="S928" s="284"/>
      <c r="T928" s="296"/>
      <c r="U928" s="250">
        <f t="shared" si="194"/>
        <v>93060</v>
      </c>
      <c r="V928" s="250">
        <v>93060</v>
      </c>
      <c r="W928" s="250">
        <v>93060</v>
      </c>
      <c r="X928" s="250">
        <v>93060</v>
      </c>
      <c r="Y928" s="293">
        <v>94000</v>
      </c>
      <c r="Z928" s="294"/>
      <c r="AA928" s="251"/>
      <c r="AB928" s="251"/>
    </row>
    <row r="929" spans="1:28" s="295" customFormat="1" ht="47.25">
      <c r="A929" s="284">
        <v>757</v>
      </c>
      <c r="B929" s="284">
        <v>0</v>
      </c>
      <c r="C929" s="284" t="s">
        <v>902</v>
      </c>
      <c r="D929" s="284" t="s">
        <v>3716</v>
      </c>
      <c r="E929" s="285" t="s">
        <v>903</v>
      </c>
      <c r="F929" s="286" t="s">
        <v>903</v>
      </c>
      <c r="G929" s="284">
        <v>200</v>
      </c>
      <c r="H929" s="284">
        <v>14</v>
      </c>
      <c r="I929" s="284">
        <v>1</v>
      </c>
      <c r="J929" s="287">
        <f t="shared" si="191"/>
        <v>56420.00000000001</v>
      </c>
      <c r="K929" s="301">
        <v>2.5</v>
      </c>
      <c r="L929" s="289">
        <f t="shared" si="192"/>
        <v>10075</v>
      </c>
      <c r="M929" s="301">
        <v>4</v>
      </c>
      <c r="N929" s="289">
        <f t="shared" si="193"/>
        <v>16120.000000000002</v>
      </c>
      <c r="O929" s="302"/>
      <c r="P929" s="272"/>
      <c r="Q929" s="288"/>
      <c r="R929" s="289">
        <f aca="true" t="shared" si="198" ref="R929:R965">+(O929*$AA$2)*(1+$AA$3)</f>
        <v>0</v>
      </c>
      <c r="S929" s="284"/>
      <c r="T929" s="296"/>
      <c r="U929" s="250">
        <v>79794</v>
      </c>
      <c r="V929" s="250">
        <v>79794</v>
      </c>
      <c r="W929" s="250">
        <v>79794</v>
      </c>
      <c r="X929" s="250">
        <v>79794</v>
      </c>
      <c r="Y929" s="293">
        <v>80600</v>
      </c>
      <c r="Z929" s="294"/>
      <c r="AA929" s="251"/>
      <c r="AB929" s="251"/>
    </row>
    <row r="930" spans="1:28" s="295" customFormat="1" ht="15.75">
      <c r="A930" s="284">
        <v>758</v>
      </c>
      <c r="B930" s="284">
        <v>0</v>
      </c>
      <c r="C930" s="284" t="s">
        <v>904</v>
      </c>
      <c r="D930" s="284" t="s">
        <v>3717</v>
      </c>
      <c r="E930" s="285" t="s">
        <v>905</v>
      </c>
      <c r="F930" s="286" t="s">
        <v>905</v>
      </c>
      <c r="G930" s="284">
        <v>200</v>
      </c>
      <c r="H930" s="284">
        <v>14</v>
      </c>
      <c r="I930" s="284">
        <v>0.95</v>
      </c>
      <c r="J930" s="287">
        <f t="shared" si="191"/>
        <v>9443.000000000002</v>
      </c>
      <c r="K930" s="301">
        <v>3.5</v>
      </c>
      <c r="L930" s="289">
        <f t="shared" si="192"/>
        <v>2485.0000000000005</v>
      </c>
      <c r="M930" s="301">
        <v>4</v>
      </c>
      <c r="N930" s="289">
        <f t="shared" si="193"/>
        <v>2840</v>
      </c>
      <c r="O930" s="302"/>
      <c r="P930" s="272"/>
      <c r="Q930" s="288"/>
      <c r="R930" s="289">
        <f t="shared" si="198"/>
        <v>0</v>
      </c>
      <c r="S930" s="284"/>
      <c r="T930" s="296"/>
      <c r="U930" s="250">
        <f t="shared" si="194"/>
        <v>14768</v>
      </c>
      <c r="V930" s="250">
        <v>14768</v>
      </c>
      <c r="W930" s="250">
        <v>14768</v>
      </c>
      <c r="X930" s="250">
        <v>14768</v>
      </c>
      <c r="Y930" s="293">
        <v>14200</v>
      </c>
      <c r="Z930" s="294"/>
      <c r="AA930" s="251"/>
      <c r="AB930" s="251"/>
    </row>
    <row r="931" spans="1:28" s="295" customFormat="1" ht="47.25">
      <c r="A931" s="284">
        <v>759</v>
      </c>
      <c r="B931" s="284">
        <v>0</v>
      </c>
      <c r="C931" s="284" t="s">
        <v>906</v>
      </c>
      <c r="D931" s="284" t="s">
        <v>3718</v>
      </c>
      <c r="E931" s="285" t="s">
        <v>907</v>
      </c>
      <c r="F931" s="286" t="s">
        <v>907</v>
      </c>
      <c r="G931" s="284">
        <v>200</v>
      </c>
      <c r="H931" s="284">
        <v>14</v>
      </c>
      <c r="I931" s="284">
        <v>1</v>
      </c>
      <c r="J931" s="287">
        <f t="shared" si="191"/>
        <v>81830.00000000001</v>
      </c>
      <c r="K931" s="301">
        <v>2.2</v>
      </c>
      <c r="L931" s="289">
        <f t="shared" si="192"/>
        <v>12859.000000000002</v>
      </c>
      <c r="M931" s="301">
        <v>4</v>
      </c>
      <c r="N931" s="289">
        <f t="shared" si="193"/>
        <v>23380</v>
      </c>
      <c r="O931" s="302"/>
      <c r="P931" s="272"/>
      <c r="Q931" s="288"/>
      <c r="R931" s="289">
        <f t="shared" si="198"/>
        <v>0</v>
      </c>
      <c r="S931" s="284"/>
      <c r="T931" s="296"/>
      <c r="U931" s="250">
        <v>113978</v>
      </c>
      <c r="V931" s="250">
        <v>113978</v>
      </c>
      <c r="W931" s="250">
        <v>113978</v>
      </c>
      <c r="X931" s="250">
        <v>113978</v>
      </c>
      <c r="Y931" s="293">
        <v>116900</v>
      </c>
      <c r="Z931" s="294"/>
      <c r="AA931" s="251"/>
      <c r="AB931" s="251"/>
    </row>
    <row r="932" spans="1:28" s="295" customFormat="1" ht="31.5">
      <c r="A932" s="284">
        <v>760</v>
      </c>
      <c r="B932" s="284">
        <v>0</v>
      </c>
      <c r="C932" s="284" t="s">
        <v>908</v>
      </c>
      <c r="D932" s="284" t="s">
        <v>3719</v>
      </c>
      <c r="E932" s="285" t="s">
        <v>909</v>
      </c>
      <c r="F932" s="286" t="s">
        <v>909</v>
      </c>
      <c r="G932" s="284">
        <v>200</v>
      </c>
      <c r="H932" s="284">
        <v>14</v>
      </c>
      <c r="I932" s="284">
        <v>1</v>
      </c>
      <c r="J932" s="287">
        <f t="shared" si="191"/>
        <v>118370.00000000001</v>
      </c>
      <c r="K932" s="301">
        <v>2</v>
      </c>
      <c r="L932" s="289">
        <f t="shared" si="192"/>
        <v>16910</v>
      </c>
      <c r="M932" s="301">
        <v>4</v>
      </c>
      <c r="N932" s="289">
        <f t="shared" si="193"/>
        <v>33820</v>
      </c>
      <c r="O932" s="302"/>
      <c r="P932" s="272"/>
      <c r="Q932" s="288"/>
      <c r="R932" s="289">
        <f t="shared" si="198"/>
        <v>0</v>
      </c>
      <c r="S932" s="284"/>
      <c r="T932" s="296"/>
      <c r="U932" s="250">
        <v>163182</v>
      </c>
      <c r="V932" s="250">
        <v>163182</v>
      </c>
      <c r="W932" s="250">
        <v>163182</v>
      </c>
      <c r="X932" s="250">
        <v>163182</v>
      </c>
      <c r="Y932" s="293">
        <v>169100</v>
      </c>
      <c r="Z932" s="294"/>
      <c r="AA932" s="251"/>
      <c r="AB932" s="251"/>
    </row>
    <row r="933" spans="1:28" s="295" customFormat="1" ht="31.5">
      <c r="A933" s="284">
        <v>761</v>
      </c>
      <c r="B933" s="284">
        <v>0</v>
      </c>
      <c r="C933" s="284" t="s">
        <v>910</v>
      </c>
      <c r="D933" s="284" t="s">
        <v>3720</v>
      </c>
      <c r="E933" s="285" t="s">
        <v>911</v>
      </c>
      <c r="F933" s="286" t="s">
        <v>911</v>
      </c>
      <c r="G933" s="284">
        <v>200</v>
      </c>
      <c r="H933" s="284">
        <v>14</v>
      </c>
      <c r="I933" s="284">
        <v>0.95</v>
      </c>
      <c r="J933" s="287">
        <f t="shared" si="191"/>
        <v>6982.500000000001</v>
      </c>
      <c r="K933" s="301">
        <v>3.5</v>
      </c>
      <c r="L933" s="289">
        <f t="shared" si="192"/>
        <v>1837.5000000000005</v>
      </c>
      <c r="M933" s="301">
        <v>4</v>
      </c>
      <c r="N933" s="289">
        <f t="shared" si="193"/>
        <v>2100</v>
      </c>
      <c r="O933" s="302"/>
      <c r="P933" s="272"/>
      <c r="Q933" s="288"/>
      <c r="R933" s="289">
        <f t="shared" si="198"/>
        <v>0</v>
      </c>
      <c r="S933" s="284"/>
      <c r="T933" s="296"/>
      <c r="U933" s="250">
        <f t="shared" si="194"/>
        <v>10920</v>
      </c>
      <c r="V933" s="250">
        <v>10920</v>
      </c>
      <c r="W933" s="250">
        <v>10920</v>
      </c>
      <c r="X933" s="250">
        <v>10920</v>
      </c>
      <c r="Y933" s="293">
        <v>10500</v>
      </c>
      <c r="Z933" s="294"/>
      <c r="AA933" s="251"/>
      <c r="AB933" s="251"/>
    </row>
    <row r="934" spans="1:28" s="295" customFormat="1" ht="15.75">
      <c r="A934" s="284">
        <v>762</v>
      </c>
      <c r="B934" s="284">
        <v>0</v>
      </c>
      <c r="C934" s="284" t="s">
        <v>912</v>
      </c>
      <c r="D934" s="284" t="s">
        <v>3721</v>
      </c>
      <c r="E934" s="285" t="s">
        <v>913</v>
      </c>
      <c r="F934" s="286" t="s">
        <v>913</v>
      </c>
      <c r="G934" s="284">
        <v>200</v>
      </c>
      <c r="H934" s="284">
        <v>14</v>
      </c>
      <c r="I934" s="284">
        <v>1</v>
      </c>
      <c r="J934" s="287">
        <f t="shared" si="191"/>
        <v>60060.00000000001</v>
      </c>
      <c r="K934" s="301">
        <v>2.5</v>
      </c>
      <c r="L934" s="289">
        <f t="shared" si="192"/>
        <v>10725</v>
      </c>
      <c r="M934" s="301">
        <v>4</v>
      </c>
      <c r="N934" s="289">
        <f t="shared" si="193"/>
        <v>17160</v>
      </c>
      <c r="O934" s="302"/>
      <c r="P934" s="272"/>
      <c r="Q934" s="288"/>
      <c r="R934" s="289">
        <f t="shared" si="198"/>
        <v>0</v>
      </c>
      <c r="S934" s="284"/>
      <c r="T934" s="296"/>
      <c r="U934" s="250">
        <v>84942</v>
      </c>
      <c r="V934" s="250">
        <v>84942</v>
      </c>
      <c r="W934" s="250">
        <v>84942</v>
      </c>
      <c r="X934" s="250">
        <v>84942</v>
      </c>
      <c r="Y934" s="293">
        <v>85800</v>
      </c>
      <c r="Z934" s="294"/>
      <c r="AA934" s="251"/>
      <c r="AB934" s="251"/>
    </row>
    <row r="935" spans="1:28" s="295" customFormat="1" ht="31.5">
      <c r="A935" s="284">
        <v>763</v>
      </c>
      <c r="B935" s="284">
        <v>0</v>
      </c>
      <c r="C935" s="284" t="s">
        <v>914</v>
      </c>
      <c r="D935" s="284" t="s">
        <v>3722</v>
      </c>
      <c r="E935" s="285" t="s">
        <v>915</v>
      </c>
      <c r="F935" s="286" t="s">
        <v>915</v>
      </c>
      <c r="G935" s="284">
        <v>200</v>
      </c>
      <c r="H935" s="284">
        <v>14</v>
      </c>
      <c r="I935" s="284">
        <v>1</v>
      </c>
      <c r="J935" s="287">
        <f t="shared" si="191"/>
        <v>10290</v>
      </c>
      <c r="K935" s="301">
        <v>3.5</v>
      </c>
      <c r="L935" s="289">
        <f t="shared" si="192"/>
        <v>2572.5</v>
      </c>
      <c r="M935" s="301">
        <v>4</v>
      </c>
      <c r="N935" s="289">
        <f t="shared" si="193"/>
        <v>2940</v>
      </c>
      <c r="O935" s="302"/>
      <c r="P935" s="272"/>
      <c r="Q935" s="288"/>
      <c r="R935" s="289">
        <f t="shared" si="198"/>
        <v>0</v>
      </c>
      <c r="S935" s="284"/>
      <c r="T935" s="296"/>
      <c r="U935" s="250">
        <v>15288</v>
      </c>
      <c r="V935" s="250">
        <v>15288</v>
      </c>
      <c r="W935" s="250">
        <v>15288</v>
      </c>
      <c r="X935" s="250">
        <v>15288</v>
      </c>
      <c r="Y935" s="293">
        <v>14700</v>
      </c>
      <c r="Z935" s="294"/>
      <c r="AA935" s="251"/>
      <c r="AB935" s="251"/>
    </row>
    <row r="936" spans="1:28" s="295" customFormat="1" ht="15.75">
      <c r="A936" s="284">
        <v>764</v>
      </c>
      <c r="B936" s="284">
        <v>0</v>
      </c>
      <c r="C936" s="284" t="s">
        <v>916</v>
      </c>
      <c r="D936" s="284" t="s">
        <v>3723</v>
      </c>
      <c r="E936" s="285" t="s">
        <v>917</v>
      </c>
      <c r="F936" s="286" t="s">
        <v>917</v>
      </c>
      <c r="G936" s="284">
        <v>200</v>
      </c>
      <c r="H936" s="284">
        <v>14</v>
      </c>
      <c r="I936" s="284">
        <v>0.95</v>
      </c>
      <c r="J936" s="287">
        <f t="shared" si="191"/>
        <v>35245.00000000001</v>
      </c>
      <c r="K936" s="301">
        <v>2.5</v>
      </c>
      <c r="L936" s="289">
        <f t="shared" si="192"/>
        <v>6625</v>
      </c>
      <c r="M936" s="301">
        <v>4</v>
      </c>
      <c r="N936" s="289">
        <f t="shared" si="193"/>
        <v>10600</v>
      </c>
      <c r="O936" s="302"/>
      <c r="P936" s="272"/>
      <c r="Q936" s="288"/>
      <c r="R936" s="289">
        <f t="shared" si="198"/>
        <v>0</v>
      </c>
      <c r="S936" s="284"/>
      <c r="T936" s="296"/>
      <c r="U936" s="250">
        <f t="shared" si="194"/>
        <v>52470</v>
      </c>
      <c r="V936" s="250">
        <v>52470</v>
      </c>
      <c r="W936" s="250">
        <v>52470</v>
      </c>
      <c r="X936" s="250">
        <v>52470</v>
      </c>
      <c r="Y936" s="293">
        <v>53000</v>
      </c>
      <c r="Z936" s="294"/>
      <c r="AA936" s="251"/>
      <c r="AB936" s="251"/>
    </row>
    <row r="937" spans="1:28" s="295" customFormat="1" ht="31.5">
      <c r="A937" s="284">
        <v>765</v>
      </c>
      <c r="B937" s="284">
        <v>0</v>
      </c>
      <c r="C937" s="284" t="s">
        <v>918</v>
      </c>
      <c r="D937" s="284" t="s">
        <v>3724</v>
      </c>
      <c r="E937" s="285" t="s">
        <v>3145</v>
      </c>
      <c r="F937" s="286" t="s">
        <v>919</v>
      </c>
      <c r="G937" s="284">
        <v>200</v>
      </c>
      <c r="H937" s="284">
        <v>14</v>
      </c>
      <c r="I937" s="284">
        <v>0.95</v>
      </c>
      <c r="J937" s="287">
        <f t="shared" si="191"/>
        <v>18154.5</v>
      </c>
      <c r="K937" s="301">
        <v>3</v>
      </c>
      <c r="L937" s="289">
        <f t="shared" si="192"/>
        <v>4094.9999999999995</v>
      </c>
      <c r="M937" s="301">
        <v>4</v>
      </c>
      <c r="N937" s="289">
        <f t="shared" si="193"/>
        <v>5460</v>
      </c>
      <c r="O937" s="302"/>
      <c r="P937" s="272"/>
      <c r="Q937" s="288"/>
      <c r="R937" s="289">
        <f t="shared" si="198"/>
        <v>0</v>
      </c>
      <c r="S937" s="284"/>
      <c r="T937" s="296"/>
      <c r="U937" s="250">
        <f t="shared" si="194"/>
        <v>27710</v>
      </c>
      <c r="V937" s="250">
        <v>27710</v>
      </c>
      <c r="W937" s="250">
        <v>27710</v>
      </c>
      <c r="X937" s="250">
        <v>27710</v>
      </c>
      <c r="Y937" s="293">
        <v>27300</v>
      </c>
      <c r="Z937" s="294"/>
      <c r="AA937" s="251"/>
      <c r="AB937" s="251"/>
    </row>
    <row r="938" spans="1:28" s="295" customFormat="1" ht="31.5">
      <c r="A938" s="284">
        <v>766</v>
      </c>
      <c r="B938" s="284">
        <v>0</v>
      </c>
      <c r="C938" s="284" t="s">
        <v>920</v>
      </c>
      <c r="D938" s="284" t="s">
        <v>3725</v>
      </c>
      <c r="E938" s="285" t="s">
        <v>921</v>
      </c>
      <c r="F938" s="286" t="s">
        <v>921</v>
      </c>
      <c r="G938" s="284">
        <v>200</v>
      </c>
      <c r="H938" s="284">
        <v>14</v>
      </c>
      <c r="I938" s="284">
        <v>0.95</v>
      </c>
      <c r="J938" s="287">
        <f t="shared" si="191"/>
        <v>24206.000000000004</v>
      </c>
      <c r="K938" s="301">
        <v>3</v>
      </c>
      <c r="L938" s="289">
        <f t="shared" si="192"/>
        <v>5460</v>
      </c>
      <c r="M938" s="301">
        <v>4</v>
      </c>
      <c r="N938" s="289">
        <f t="shared" si="193"/>
        <v>7280</v>
      </c>
      <c r="O938" s="302"/>
      <c r="P938" s="272"/>
      <c r="Q938" s="288"/>
      <c r="R938" s="289">
        <f t="shared" si="198"/>
        <v>0</v>
      </c>
      <c r="S938" s="284"/>
      <c r="T938" s="296"/>
      <c r="U938" s="250">
        <f t="shared" si="194"/>
        <v>36946</v>
      </c>
      <c r="V938" s="250">
        <v>36946</v>
      </c>
      <c r="W938" s="250">
        <v>36946</v>
      </c>
      <c r="X938" s="250">
        <v>36946</v>
      </c>
      <c r="Y938" s="293">
        <v>36400</v>
      </c>
      <c r="Z938" s="294"/>
      <c r="AA938" s="251"/>
      <c r="AB938" s="251"/>
    </row>
    <row r="939" spans="1:28" s="295" customFormat="1" ht="31.5">
      <c r="A939" s="284">
        <v>767</v>
      </c>
      <c r="B939" s="284">
        <v>0</v>
      </c>
      <c r="C939" s="284" t="s">
        <v>922</v>
      </c>
      <c r="D939" s="284" t="s">
        <v>3726</v>
      </c>
      <c r="E939" s="285" t="s">
        <v>3146</v>
      </c>
      <c r="F939" s="286" t="s">
        <v>923</v>
      </c>
      <c r="G939" s="284">
        <v>200</v>
      </c>
      <c r="H939" s="284">
        <v>14</v>
      </c>
      <c r="I939" s="284">
        <v>0.95</v>
      </c>
      <c r="J939" s="287">
        <f t="shared" si="191"/>
        <v>62244.00000000001</v>
      </c>
      <c r="K939" s="301">
        <v>2.5</v>
      </c>
      <c r="L939" s="289">
        <f t="shared" si="192"/>
        <v>11700</v>
      </c>
      <c r="M939" s="301">
        <v>4</v>
      </c>
      <c r="N939" s="289">
        <f t="shared" si="193"/>
        <v>18720</v>
      </c>
      <c r="O939" s="302"/>
      <c r="P939" s="272"/>
      <c r="Q939" s="288"/>
      <c r="R939" s="289">
        <f t="shared" si="198"/>
        <v>0</v>
      </c>
      <c r="S939" s="284"/>
      <c r="T939" s="296"/>
      <c r="U939" s="250">
        <f t="shared" si="194"/>
        <v>92664</v>
      </c>
      <c r="V939" s="250">
        <v>92664</v>
      </c>
      <c r="W939" s="250">
        <v>92664</v>
      </c>
      <c r="X939" s="250">
        <v>92664</v>
      </c>
      <c r="Y939" s="293">
        <v>93600</v>
      </c>
      <c r="Z939" s="294"/>
      <c r="AA939" s="251"/>
      <c r="AB939" s="251"/>
    </row>
    <row r="940" spans="1:28" s="295" customFormat="1" ht="31.5">
      <c r="A940" s="284">
        <v>768</v>
      </c>
      <c r="B940" s="284">
        <v>0</v>
      </c>
      <c r="C940" s="284" t="s">
        <v>924</v>
      </c>
      <c r="D940" s="284" t="s">
        <v>3727</v>
      </c>
      <c r="E940" s="285" t="s">
        <v>3147</v>
      </c>
      <c r="F940" s="286" t="s">
        <v>925</v>
      </c>
      <c r="G940" s="284">
        <v>200</v>
      </c>
      <c r="H940" s="284">
        <v>14</v>
      </c>
      <c r="I940" s="284">
        <v>0.95</v>
      </c>
      <c r="J940" s="287">
        <f t="shared" si="191"/>
        <v>36309</v>
      </c>
      <c r="K940" s="301">
        <v>2.5</v>
      </c>
      <c r="L940" s="289">
        <f t="shared" si="192"/>
        <v>6825</v>
      </c>
      <c r="M940" s="301">
        <v>4</v>
      </c>
      <c r="N940" s="289">
        <f t="shared" si="193"/>
        <v>10920</v>
      </c>
      <c r="O940" s="302"/>
      <c r="P940" s="272"/>
      <c r="Q940" s="288"/>
      <c r="R940" s="289">
        <f t="shared" si="198"/>
        <v>0</v>
      </c>
      <c r="S940" s="284"/>
      <c r="T940" s="296"/>
      <c r="U940" s="250">
        <f t="shared" si="194"/>
        <v>54054</v>
      </c>
      <c r="V940" s="250">
        <v>54054</v>
      </c>
      <c r="W940" s="250">
        <v>54054</v>
      </c>
      <c r="X940" s="250">
        <v>54054</v>
      </c>
      <c r="Y940" s="293">
        <v>54600</v>
      </c>
      <c r="Z940" s="294"/>
      <c r="AA940" s="251"/>
      <c r="AB940" s="251"/>
    </row>
    <row r="941" spans="1:28" s="295" customFormat="1" ht="31.5">
      <c r="A941" s="284">
        <v>769</v>
      </c>
      <c r="B941" s="284">
        <v>0</v>
      </c>
      <c r="C941" s="284" t="s">
        <v>926</v>
      </c>
      <c r="D941" s="284" t="s">
        <v>3728</v>
      </c>
      <c r="E941" s="285" t="s">
        <v>927</v>
      </c>
      <c r="F941" s="286" t="s">
        <v>927</v>
      </c>
      <c r="G941" s="284">
        <v>200</v>
      </c>
      <c r="H941" s="284">
        <v>14</v>
      </c>
      <c r="I941" s="284">
        <v>1</v>
      </c>
      <c r="J941" s="287">
        <f t="shared" si="191"/>
        <v>5390</v>
      </c>
      <c r="K941" s="301">
        <v>3.5</v>
      </c>
      <c r="L941" s="289">
        <f t="shared" si="192"/>
        <v>1347.5</v>
      </c>
      <c r="M941" s="301">
        <v>4</v>
      </c>
      <c r="N941" s="289">
        <f t="shared" si="193"/>
        <v>1540</v>
      </c>
      <c r="O941" s="302"/>
      <c r="P941" s="272"/>
      <c r="Q941" s="288"/>
      <c r="R941" s="289">
        <f t="shared" si="198"/>
        <v>0</v>
      </c>
      <c r="S941" s="284"/>
      <c r="T941" s="296"/>
      <c r="U941" s="250">
        <f t="shared" si="194"/>
        <v>8278</v>
      </c>
      <c r="V941" s="250">
        <v>8278</v>
      </c>
      <c r="W941" s="250">
        <v>8278</v>
      </c>
      <c r="X941" s="250">
        <v>8278</v>
      </c>
      <c r="Y941" s="293">
        <v>7700</v>
      </c>
      <c r="Z941" s="294"/>
      <c r="AA941" s="251"/>
      <c r="AB941" s="251"/>
    </row>
    <row r="942" spans="1:28" s="295" customFormat="1" ht="31.5">
      <c r="A942" s="284">
        <v>770</v>
      </c>
      <c r="B942" s="284">
        <v>0</v>
      </c>
      <c r="C942" s="284" t="s">
        <v>928</v>
      </c>
      <c r="D942" s="284" t="s">
        <v>1155</v>
      </c>
      <c r="E942" s="285" t="s">
        <v>3148</v>
      </c>
      <c r="F942" s="286" t="s">
        <v>929</v>
      </c>
      <c r="G942" s="284">
        <v>200</v>
      </c>
      <c r="H942" s="284">
        <v>14</v>
      </c>
      <c r="I942" s="284">
        <v>0.95</v>
      </c>
      <c r="J942" s="287">
        <f t="shared" si="191"/>
        <v>8445.5</v>
      </c>
      <c r="K942" s="301">
        <v>3.5</v>
      </c>
      <c r="L942" s="289">
        <f t="shared" si="192"/>
        <v>2222.5</v>
      </c>
      <c r="M942" s="301">
        <v>4</v>
      </c>
      <c r="N942" s="289">
        <f t="shared" si="193"/>
        <v>2540</v>
      </c>
      <c r="O942" s="302"/>
      <c r="P942" s="272"/>
      <c r="Q942" s="288"/>
      <c r="R942" s="289">
        <f t="shared" si="198"/>
        <v>0</v>
      </c>
      <c r="S942" s="284"/>
      <c r="T942" s="296"/>
      <c r="U942" s="250">
        <f t="shared" si="194"/>
        <v>13208</v>
      </c>
      <c r="V942" s="250">
        <v>13208</v>
      </c>
      <c r="W942" s="250">
        <v>13208</v>
      </c>
      <c r="X942" s="250">
        <v>13208</v>
      </c>
      <c r="Y942" s="293">
        <v>12700</v>
      </c>
      <c r="Z942" s="294"/>
      <c r="AA942" s="251"/>
      <c r="AB942" s="251"/>
    </row>
    <row r="943" spans="1:28" s="295" customFormat="1" ht="15.75">
      <c r="A943" s="284">
        <v>771</v>
      </c>
      <c r="B943" s="284">
        <v>0</v>
      </c>
      <c r="C943" s="284" t="s">
        <v>930</v>
      </c>
      <c r="D943" s="284" t="s">
        <v>3729</v>
      </c>
      <c r="E943" s="285" t="s">
        <v>931</v>
      </c>
      <c r="F943" s="286" t="s">
        <v>931</v>
      </c>
      <c r="G943" s="284">
        <v>200</v>
      </c>
      <c r="H943" s="284">
        <v>14</v>
      </c>
      <c r="I943" s="284">
        <v>0.95</v>
      </c>
      <c r="J943" s="287">
        <f t="shared" si="191"/>
        <v>9177</v>
      </c>
      <c r="K943" s="301">
        <v>3.5</v>
      </c>
      <c r="L943" s="289">
        <f t="shared" si="192"/>
        <v>2415.0000000000005</v>
      </c>
      <c r="M943" s="301">
        <v>4</v>
      </c>
      <c r="N943" s="289">
        <f t="shared" si="193"/>
        <v>2760</v>
      </c>
      <c r="O943" s="302"/>
      <c r="P943" s="272"/>
      <c r="Q943" s="288"/>
      <c r="R943" s="289">
        <f t="shared" si="198"/>
        <v>0</v>
      </c>
      <c r="S943" s="284"/>
      <c r="T943" s="296"/>
      <c r="U943" s="250">
        <f t="shared" si="194"/>
        <v>14352</v>
      </c>
      <c r="V943" s="250">
        <v>14352</v>
      </c>
      <c r="W943" s="250">
        <v>14352</v>
      </c>
      <c r="X943" s="250">
        <v>14352</v>
      </c>
      <c r="Y943" s="293">
        <v>13800</v>
      </c>
      <c r="Z943" s="294"/>
      <c r="AA943" s="251"/>
      <c r="AB943" s="251"/>
    </row>
    <row r="944" spans="1:28" s="295" customFormat="1" ht="15.75">
      <c r="A944" s="284">
        <v>772</v>
      </c>
      <c r="B944" s="284">
        <v>0</v>
      </c>
      <c r="C944" s="284" t="s">
        <v>932</v>
      </c>
      <c r="D944" s="284" t="s">
        <v>2696</v>
      </c>
      <c r="E944" s="285" t="s">
        <v>933</v>
      </c>
      <c r="F944" s="286" t="s">
        <v>933</v>
      </c>
      <c r="G944" s="284">
        <v>200</v>
      </c>
      <c r="H944" s="284">
        <v>14</v>
      </c>
      <c r="I944" s="284">
        <v>0.95</v>
      </c>
      <c r="J944" s="287">
        <f t="shared" si="191"/>
        <v>15561.000000000002</v>
      </c>
      <c r="K944" s="301">
        <v>3.5</v>
      </c>
      <c r="L944" s="289">
        <f t="shared" si="192"/>
        <v>4095.0000000000005</v>
      </c>
      <c r="M944" s="301">
        <v>4</v>
      </c>
      <c r="N944" s="289">
        <f t="shared" si="193"/>
        <v>4680</v>
      </c>
      <c r="O944" s="302"/>
      <c r="P944" s="272"/>
      <c r="Q944" s="288"/>
      <c r="R944" s="289">
        <f t="shared" si="198"/>
        <v>0</v>
      </c>
      <c r="S944" s="284"/>
      <c r="T944" s="296"/>
      <c r="U944" s="250">
        <f t="shared" si="194"/>
        <v>24336</v>
      </c>
      <c r="V944" s="250">
        <v>24336</v>
      </c>
      <c r="W944" s="250">
        <v>24336</v>
      </c>
      <c r="X944" s="250">
        <v>24336</v>
      </c>
      <c r="Y944" s="293">
        <v>23400</v>
      </c>
      <c r="Z944" s="294"/>
      <c r="AA944" s="251"/>
      <c r="AB944" s="251"/>
    </row>
    <row r="945" spans="1:28" s="295" customFormat="1" ht="15.75">
      <c r="A945" s="284">
        <v>773</v>
      </c>
      <c r="B945" s="284">
        <v>0</v>
      </c>
      <c r="C945" s="284" t="s">
        <v>934</v>
      </c>
      <c r="D945" s="284" t="s">
        <v>2817</v>
      </c>
      <c r="E945" s="285" t="s">
        <v>935</v>
      </c>
      <c r="F945" s="286" t="s">
        <v>935</v>
      </c>
      <c r="G945" s="284">
        <v>200</v>
      </c>
      <c r="H945" s="284">
        <v>14</v>
      </c>
      <c r="I945" s="284">
        <v>1</v>
      </c>
      <c r="J945" s="287">
        <f t="shared" si="191"/>
        <v>5950</v>
      </c>
      <c r="K945" s="301">
        <v>3.5</v>
      </c>
      <c r="L945" s="289">
        <f t="shared" si="192"/>
        <v>1487.5</v>
      </c>
      <c r="M945" s="301">
        <v>4</v>
      </c>
      <c r="N945" s="289">
        <f t="shared" si="193"/>
        <v>1700</v>
      </c>
      <c r="O945" s="302"/>
      <c r="P945" s="272"/>
      <c r="Q945" s="288"/>
      <c r="R945" s="289">
        <f t="shared" si="198"/>
        <v>0</v>
      </c>
      <c r="S945" s="284"/>
      <c r="T945" s="296"/>
      <c r="U945" s="250">
        <f t="shared" si="194"/>
        <v>9138</v>
      </c>
      <c r="V945" s="250">
        <v>9138</v>
      </c>
      <c r="W945" s="250">
        <v>9138</v>
      </c>
      <c r="X945" s="250">
        <v>9138</v>
      </c>
      <c r="Y945" s="293">
        <v>8500</v>
      </c>
      <c r="Z945" s="294"/>
      <c r="AA945" s="251"/>
      <c r="AB945" s="251"/>
    </row>
    <row r="946" spans="1:28" s="295" customFormat="1" ht="15.75">
      <c r="A946" s="284">
        <v>774</v>
      </c>
      <c r="B946" s="284" t="s">
        <v>731</v>
      </c>
      <c r="C946" s="284" t="s">
        <v>936</v>
      </c>
      <c r="D946" s="284" t="s">
        <v>3730</v>
      </c>
      <c r="E946" s="285" t="s">
        <v>937</v>
      </c>
      <c r="F946" s="286" t="s">
        <v>937</v>
      </c>
      <c r="G946" s="284">
        <v>200</v>
      </c>
      <c r="H946" s="284">
        <v>14</v>
      </c>
      <c r="I946" s="284">
        <v>0.95</v>
      </c>
      <c r="J946" s="287">
        <f t="shared" si="191"/>
        <v>8844.5</v>
      </c>
      <c r="K946" s="301">
        <v>3.5</v>
      </c>
      <c r="L946" s="289">
        <f t="shared" si="192"/>
        <v>2327.5</v>
      </c>
      <c r="M946" s="301">
        <v>4</v>
      </c>
      <c r="N946" s="289">
        <f t="shared" si="193"/>
        <v>2660</v>
      </c>
      <c r="O946" s="302"/>
      <c r="P946" s="272"/>
      <c r="Q946" s="288"/>
      <c r="R946" s="289">
        <f t="shared" si="198"/>
        <v>0</v>
      </c>
      <c r="S946" s="284"/>
      <c r="T946" s="296"/>
      <c r="U946" s="250">
        <f t="shared" si="194"/>
        <v>13832</v>
      </c>
      <c r="V946" s="250">
        <v>13832</v>
      </c>
      <c r="W946" s="250">
        <v>13832</v>
      </c>
      <c r="X946" s="250">
        <v>13832</v>
      </c>
      <c r="Y946" s="293">
        <v>13300</v>
      </c>
      <c r="Z946" s="294"/>
      <c r="AA946" s="251"/>
      <c r="AB946" s="251"/>
    </row>
    <row r="947" spans="1:28" s="295" customFormat="1" ht="31.5">
      <c r="A947" s="284">
        <v>775</v>
      </c>
      <c r="B947" s="284">
        <v>0</v>
      </c>
      <c r="C947" s="284" t="s">
        <v>938</v>
      </c>
      <c r="D947" s="284" t="s">
        <v>3731</v>
      </c>
      <c r="E947" s="285" t="s">
        <v>939</v>
      </c>
      <c r="F947" s="286" t="s">
        <v>939</v>
      </c>
      <c r="G947" s="284">
        <v>200</v>
      </c>
      <c r="H947" s="284">
        <v>14</v>
      </c>
      <c r="I947" s="284">
        <v>1</v>
      </c>
      <c r="J947" s="287">
        <f t="shared" si="191"/>
        <v>5530</v>
      </c>
      <c r="K947" s="301">
        <v>3.5</v>
      </c>
      <c r="L947" s="289">
        <f t="shared" si="192"/>
        <v>1382.5</v>
      </c>
      <c r="M947" s="301">
        <v>4</v>
      </c>
      <c r="N947" s="289">
        <f t="shared" si="193"/>
        <v>1580</v>
      </c>
      <c r="O947" s="302"/>
      <c r="P947" s="272"/>
      <c r="Q947" s="288"/>
      <c r="R947" s="289">
        <f t="shared" si="198"/>
        <v>0</v>
      </c>
      <c r="S947" s="284"/>
      <c r="T947" s="296"/>
      <c r="U947" s="250">
        <f t="shared" si="194"/>
        <v>8493</v>
      </c>
      <c r="V947" s="250">
        <v>8493</v>
      </c>
      <c r="W947" s="250">
        <v>8493</v>
      </c>
      <c r="X947" s="250">
        <v>8493</v>
      </c>
      <c r="Y947" s="293">
        <v>7900</v>
      </c>
      <c r="Z947" s="294"/>
      <c r="AA947" s="251"/>
      <c r="AB947" s="251"/>
    </row>
    <row r="948" spans="1:28" s="295" customFormat="1" ht="31.5">
      <c r="A948" s="284">
        <v>776</v>
      </c>
      <c r="B948" s="284">
        <v>0</v>
      </c>
      <c r="C948" s="284" t="s">
        <v>940</v>
      </c>
      <c r="D948" s="284" t="s">
        <v>3732</v>
      </c>
      <c r="E948" s="285" t="s">
        <v>3149</v>
      </c>
      <c r="F948" s="286" t="s">
        <v>941</v>
      </c>
      <c r="G948" s="284">
        <v>200</v>
      </c>
      <c r="H948" s="284">
        <v>14</v>
      </c>
      <c r="I948" s="284">
        <v>1</v>
      </c>
      <c r="J948" s="287">
        <f t="shared" si="191"/>
        <v>5110</v>
      </c>
      <c r="K948" s="301">
        <v>3.5</v>
      </c>
      <c r="L948" s="289">
        <f t="shared" si="192"/>
        <v>1277.5</v>
      </c>
      <c r="M948" s="301">
        <v>4</v>
      </c>
      <c r="N948" s="289">
        <f t="shared" si="193"/>
        <v>1460</v>
      </c>
      <c r="O948" s="302"/>
      <c r="P948" s="272"/>
      <c r="Q948" s="288"/>
      <c r="R948" s="289">
        <f t="shared" si="198"/>
        <v>0</v>
      </c>
      <c r="S948" s="284"/>
      <c r="T948" s="296"/>
      <c r="U948" s="250">
        <f t="shared" si="194"/>
        <v>7848</v>
      </c>
      <c r="V948" s="250">
        <v>7848</v>
      </c>
      <c r="W948" s="250">
        <v>7848</v>
      </c>
      <c r="X948" s="250">
        <v>7848</v>
      </c>
      <c r="Y948" s="293">
        <v>7300</v>
      </c>
      <c r="Z948" s="294"/>
      <c r="AA948" s="251"/>
      <c r="AB948" s="251"/>
    </row>
    <row r="949" spans="1:28" s="295" customFormat="1" ht="31.5">
      <c r="A949" s="284">
        <v>777</v>
      </c>
      <c r="B949" s="284">
        <v>0</v>
      </c>
      <c r="C949" s="284" t="s">
        <v>942</v>
      </c>
      <c r="D949" s="284" t="s">
        <v>3733</v>
      </c>
      <c r="E949" s="285" t="s">
        <v>943</v>
      </c>
      <c r="F949" s="286" t="s">
        <v>943</v>
      </c>
      <c r="G949" s="284">
        <v>200</v>
      </c>
      <c r="H949" s="284">
        <v>14</v>
      </c>
      <c r="I949" s="284">
        <v>0.95</v>
      </c>
      <c r="J949" s="287">
        <f aca="true" t="shared" si="199" ref="J949:J965">Y949*H949%*I949/G949*1000</f>
        <v>48013.000000000015</v>
      </c>
      <c r="K949" s="301">
        <v>2.5</v>
      </c>
      <c r="L949" s="289">
        <f aca="true" t="shared" si="200" ref="L949:L965">(Y949*K949%)/G949*1000</f>
        <v>9025</v>
      </c>
      <c r="M949" s="301">
        <v>4</v>
      </c>
      <c r="N949" s="289">
        <f aca="true" t="shared" si="201" ref="N949:N965">(Y949*M949%)/G949*1000</f>
        <v>14440</v>
      </c>
      <c r="O949" s="302"/>
      <c r="P949" s="272"/>
      <c r="Q949" s="288"/>
      <c r="R949" s="289">
        <f t="shared" si="198"/>
        <v>0</v>
      </c>
      <c r="S949" s="284"/>
      <c r="T949" s="296"/>
      <c r="U949" s="250">
        <f aca="true" t="shared" si="202" ref="U949:U964">ROUND((J949+L949+N949+R949+T949),0)</f>
        <v>71478</v>
      </c>
      <c r="V949" s="250">
        <v>71478</v>
      </c>
      <c r="W949" s="250">
        <v>71478</v>
      </c>
      <c r="X949" s="250">
        <v>71478</v>
      </c>
      <c r="Y949" s="293">
        <v>72200</v>
      </c>
      <c r="Z949" s="294"/>
      <c r="AA949" s="251"/>
      <c r="AB949" s="251"/>
    </row>
    <row r="950" spans="1:28" s="295" customFormat="1" ht="31.5">
      <c r="A950" s="284">
        <v>778</v>
      </c>
      <c r="B950" s="284">
        <v>0</v>
      </c>
      <c r="C950" s="284" t="s">
        <v>944</v>
      </c>
      <c r="D950" s="284" t="s">
        <v>3734</v>
      </c>
      <c r="E950" s="285" t="s">
        <v>945</v>
      </c>
      <c r="F950" s="286" t="s">
        <v>945</v>
      </c>
      <c r="G950" s="284">
        <v>200</v>
      </c>
      <c r="H950" s="284">
        <v>14</v>
      </c>
      <c r="I950" s="284">
        <v>0.95</v>
      </c>
      <c r="J950" s="287">
        <f t="shared" si="199"/>
        <v>38902.5</v>
      </c>
      <c r="K950" s="301">
        <v>2.5</v>
      </c>
      <c r="L950" s="289">
        <f t="shared" si="200"/>
        <v>7312.5</v>
      </c>
      <c r="M950" s="301">
        <v>4</v>
      </c>
      <c r="N950" s="289">
        <f t="shared" si="201"/>
        <v>11700</v>
      </c>
      <c r="O950" s="302"/>
      <c r="P950" s="272"/>
      <c r="Q950" s="288"/>
      <c r="R950" s="289">
        <f t="shared" si="198"/>
        <v>0</v>
      </c>
      <c r="S950" s="284"/>
      <c r="T950" s="296"/>
      <c r="U950" s="250">
        <f t="shared" si="202"/>
        <v>57915</v>
      </c>
      <c r="V950" s="250">
        <v>57915</v>
      </c>
      <c r="W950" s="250">
        <v>57915</v>
      </c>
      <c r="X950" s="250">
        <v>57915</v>
      </c>
      <c r="Y950" s="293">
        <v>58500</v>
      </c>
      <c r="Z950" s="294"/>
      <c r="AA950" s="251"/>
      <c r="AB950" s="251"/>
    </row>
    <row r="951" spans="1:28" s="295" customFormat="1" ht="15.75">
      <c r="A951" s="284">
        <v>779</v>
      </c>
      <c r="B951" s="284">
        <v>0</v>
      </c>
      <c r="C951" s="284" t="s">
        <v>946</v>
      </c>
      <c r="D951" s="284" t="s">
        <v>3735</v>
      </c>
      <c r="E951" s="285" t="s">
        <v>3150</v>
      </c>
      <c r="F951" s="286" t="s">
        <v>947</v>
      </c>
      <c r="G951" s="284">
        <v>200</v>
      </c>
      <c r="H951" s="284">
        <v>14</v>
      </c>
      <c r="I951" s="284">
        <v>1</v>
      </c>
      <c r="J951" s="287">
        <f t="shared" si="199"/>
        <v>4830.000000000001</v>
      </c>
      <c r="K951" s="301">
        <v>3.5</v>
      </c>
      <c r="L951" s="289">
        <f t="shared" si="200"/>
        <v>1207.5000000000002</v>
      </c>
      <c r="M951" s="301">
        <v>4</v>
      </c>
      <c r="N951" s="289">
        <f t="shared" si="201"/>
        <v>1380</v>
      </c>
      <c r="O951" s="302"/>
      <c r="P951" s="272"/>
      <c r="Q951" s="288"/>
      <c r="R951" s="289">
        <f t="shared" si="198"/>
        <v>0</v>
      </c>
      <c r="S951" s="284"/>
      <c r="T951" s="296"/>
      <c r="U951" s="250">
        <f t="shared" si="202"/>
        <v>7418</v>
      </c>
      <c r="V951" s="250">
        <v>7418</v>
      </c>
      <c r="W951" s="250">
        <v>7418</v>
      </c>
      <c r="X951" s="250">
        <v>7418</v>
      </c>
      <c r="Y951" s="293">
        <v>6900</v>
      </c>
      <c r="Z951" s="294"/>
      <c r="AA951" s="251"/>
      <c r="AB951" s="251"/>
    </row>
    <row r="952" spans="1:28" s="295" customFormat="1" ht="31.5">
      <c r="A952" s="284">
        <v>780</v>
      </c>
      <c r="B952" s="284">
        <v>0</v>
      </c>
      <c r="C952" s="284" t="s">
        <v>948</v>
      </c>
      <c r="D952" s="284" t="s">
        <v>3736</v>
      </c>
      <c r="E952" s="285" t="s">
        <v>949</v>
      </c>
      <c r="F952" s="286" t="s">
        <v>949</v>
      </c>
      <c r="G952" s="284">
        <v>200</v>
      </c>
      <c r="H952" s="284">
        <v>14</v>
      </c>
      <c r="I952" s="284">
        <v>0.95</v>
      </c>
      <c r="J952" s="287">
        <f t="shared" si="199"/>
        <v>48412.00000000001</v>
      </c>
      <c r="K952" s="301">
        <v>2.5</v>
      </c>
      <c r="L952" s="289">
        <f t="shared" si="200"/>
        <v>9100</v>
      </c>
      <c r="M952" s="301">
        <v>4</v>
      </c>
      <c r="N952" s="289">
        <f t="shared" si="201"/>
        <v>14560</v>
      </c>
      <c r="O952" s="302"/>
      <c r="P952" s="272"/>
      <c r="Q952" s="288"/>
      <c r="R952" s="289">
        <f t="shared" si="198"/>
        <v>0</v>
      </c>
      <c r="S952" s="284"/>
      <c r="T952" s="296"/>
      <c r="U952" s="250">
        <f t="shared" si="202"/>
        <v>72072</v>
      </c>
      <c r="V952" s="250">
        <v>72072</v>
      </c>
      <c r="W952" s="250">
        <v>72072</v>
      </c>
      <c r="X952" s="250">
        <v>72072</v>
      </c>
      <c r="Y952" s="293">
        <v>72800</v>
      </c>
      <c r="Z952" s="294"/>
      <c r="AA952" s="251"/>
      <c r="AB952" s="251"/>
    </row>
    <row r="953" spans="1:28" s="295" customFormat="1" ht="31.5">
      <c r="A953" s="284">
        <v>781</v>
      </c>
      <c r="B953" s="284">
        <v>0</v>
      </c>
      <c r="C953" s="284" t="s">
        <v>950</v>
      </c>
      <c r="D953" s="284" t="s">
        <v>3737</v>
      </c>
      <c r="E953" s="285" t="s">
        <v>951</v>
      </c>
      <c r="F953" s="286" t="s">
        <v>951</v>
      </c>
      <c r="G953" s="284">
        <v>200</v>
      </c>
      <c r="H953" s="284">
        <v>14</v>
      </c>
      <c r="I953" s="284">
        <v>1</v>
      </c>
      <c r="J953" s="287">
        <f t="shared" si="199"/>
        <v>4550.000000000001</v>
      </c>
      <c r="K953" s="301">
        <v>3.5</v>
      </c>
      <c r="L953" s="289">
        <f t="shared" si="200"/>
        <v>1137.5000000000002</v>
      </c>
      <c r="M953" s="301">
        <v>4</v>
      </c>
      <c r="N953" s="289">
        <f t="shared" si="201"/>
        <v>1300</v>
      </c>
      <c r="O953" s="302"/>
      <c r="P953" s="272"/>
      <c r="Q953" s="288"/>
      <c r="R953" s="289">
        <f t="shared" si="198"/>
        <v>0</v>
      </c>
      <c r="S953" s="284"/>
      <c r="T953" s="296"/>
      <c r="U953" s="250">
        <f t="shared" si="202"/>
        <v>6988</v>
      </c>
      <c r="V953" s="250">
        <v>6988</v>
      </c>
      <c r="W953" s="250">
        <v>6988</v>
      </c>
      <c r="X953" s="250">
        <v>6988</v>
      </c>
      <c r="Y953" s="293">
        <v>6500</v>
      </c>
      <c r="Z953" s="294"/>
      <c r="AA953" s="251"/>
      <c r="AB953" s="251"/>
    </row>
    <row r="954" spans="1:28" s="295" customFormat="1" ht="63">
      <c r="A954" s="284">
        <v>782</v>
      </c>
      <c r="B954" s="284">
        <v>0</v>
      </c>
      <c r="C954" s="284" t="s">
        <v>952</v>
      </c>
      <c r="D954" s="284" t="s">
        <v>3738</v>
      </c>
      <c r="E954" s="285" t="s">
        <v>3151</v>
      </c>
      <c r="F954" s="286" t="s">
        <v>953</v>
      </c>
      <c r="G954" s="284">
        <v>200</v>
      </c>
      <c r="H954" s="284">
        <v>14</v>
      </c>
      <c r="I954" s="284">
        <v>1</v>
      </c>
      <c r="J954" s="287">
        <f t="shared" si="199"/>
        <v>1443890</v>
      </c>
      <c r="K954" s="301">
        <v>1.2</v>
      </c>
      <c r="L954" s="289">
        <f t="shared" si="200"/>
        <v>123762</v>
      </c>
      <c r="M954" s="301">
        <v>4</v>
      </c>
      <c r="N954" s="289">
        <f t="shared" si="201"/>
        <v>412540</v>
      </c>
      <c r="O954" s="302"/>
      <c r="P954" s="272"/>
      <c r="Q954" s="288"/>
      <c r="R954" s="289">
        <f t="shared" si="198"/>
        <v>0</v>
      </c>
      <c r="S954" s="284"/>
      <c r="T954" s="296"/>
      <c r="U954" s="250">
        <v>1907998</v>
      </c>
      <c r="V954" s="250">
        <v>1907998</v>
      </c>
      <c r="W954" s="250">
        <v>1907998</v>
      </c>
      <c r="X954" s="250">
        <v>1907998</v>
      </c>
      <c r="Y954" s="293">
        <v>2062700</v>
      </c>
      <c r="Z954" s="294"/>
      <c r="AA954" s="251"/>
      <c r="AB954" s="251"/>
    </row>
    <row r="955" spans="1:28" s="295" customFormat="1" ht="31.5">
      <c r="A955" s="284">
        <v>783</v>
      </c>
      <c r="B955" s="284">
        <v>0</v>
      </c>
      <c r="C955" s="284" t="s">
        <v>954</v>
      </c>
      <c r="D955" s="284" t="s">
        <v>1128</v>
      </c>
      <c r="E955" s="285" t="s">
        <v>23</v>
      </c>
      <c r="F955" s="286" t="s">
        <v>955</v>
      </c>
      <c r="G955" s="284">
        <v>120</v>
      </c>
      <c r="H955" s="284">
        <v>40</v>
      </c>
      <c r="I955" s="284">
        <v>1</v>
      </c>
      <c r="J955" s="287">
        <f t="shared" si="199"/>
        <v>3333.3333333333335</v>
      </c>
      <c r="K955" s="301">
        <v>6.5</v>
      </c>
      <c r="L955" s="289">
        <f t="shared" si="200"/>
        <v>541.6666666666666</v>
      </c>
      <c r="M955" s="301">
        <v>4</v>
      </c>
      <c r="N955" s="289">
        <f t="shared" si="201"/>
        <v>333.3333333333333</v>
      </c>
      <c r="O955" s="302"/>
      <c r="P955" s="272"/>
      <c r="Q955" s="288"/>
      <c r="R955" s="289">
        <f t="shared" si="198"/>
        <v>0</v>
      </c>
      <c r="S955" s="284"/>
      <c r="T955" s="296"/>
      <c r="U955" s="250">
        <f t="shared" si="202"/>
        <v>4208</v>
      </c>
      <c r="V955" s="250">
        <v>4208</v>
      </c>
      <c r="W955" s="250">
        <v>4208</v>
      </c>
      <c r="X955" s="250">
        <v>4208</v>
      </c>
      <c r="Y955" s="293">
        <v>1000</v>
      </c>
      <c r="Z955" s="294"/>
      <c r="AA955" s="251"/>
      <c r="AB955" s="251"/>
    </row>
    <row r="956" spans="1:28" s="295" customFormat="1" ht="15.75">
      <c r="A956" s="284">
        <v>784</v>
      </c>
      <c r="B956" s="284">
        <v>0</v>
      </c>
      <c r="C956" s="284" t="s">
        <v>956</v>
      </c>
      <c r="D956" s="284" t="s">
        <v>1283</v>
      </c>
      <c r="E956" s="285" t="s">
        <v>957</v>
      </c>
      <c r="F956" s="286" t="s">
        <v>957</v>
      </c>
      <c r="G956" s="284">
        <v>120</v>
      </c>
      <c r="H956" s="284">
        <v>40</v>
      </c>
      <c r="I956" s="284">
        <v>1</v>
      </c>
      <c r="J956" s="287">
        <f t="shared" si="199"/>
        <v>2333.3333333333335</v>
      </c>
      <c r="K956" s="301">
        <v>6.5</v>
      </c>
      <c r="L956" s="289">
        <f t="shared" si="200"/>
        <v>379.16666666666663</v>
      </c>
      <c r="M956" s="301">
        <v>4</v>
      </c>
      <c r="N956" s="289">
        <f t="shared" si="201"/>
        <v>233.33333333333334</v>
      </c>
      <c r="O956" s="302"/>
      <c r="P956" s="272"/>
      <c r="Q956" s="288"/>
      <c r="R956" s="289">
        <f t="shared" si="198"/>
        <v>0</v>
      </c>
      <c r="S956" s="284"/>
      <c r="T956" s="296"/>
      <c r="U956" s="250">
        <f t="shared" si="202"/>
        <v>2946</v>
      </c>
      <c r="V956" s="250">
        <v>2946</v>
      </c>
      <c r="W956" s="250">
        <v>2946</v>
      </c>
      <c r="X956" s="250">
        <v>2946</v>
      </c>
      <c r="Y956" s="293">
        <v>700</v>
      </c>
      <c r="Z956" s="294"/>
      <c r="AA956" s="251"/>
      <c r="AB956" s="251"/>
    </row>
    <row r="957" spans="1:28" s="295" customFormat="1" ht="78.75">
      <c r="A957" s="284">
        <v>785</v>
      </c>
      <c r="B957" s="284">
        <v>0</v>
      </c>
      <c r="C957" s="284" t="s">
        <v>958</v>
      </c>
      <c r="D957" s="284" t="s">
        <v>3739</v>
      </c>
      <c r="E957" s="285" t="s">
        <v>3152</v>
      </c>
      <c r="F957" s="286" t="s">
        <v>959</v>
      </c>
      <c r="G957" s="284">
        <v>120</v>
      </c>
      <c r="H957" s="284">
        <v>40</v>
      </c>
      <c r="I957" s="284">
        <v>1</v>
      </c>
      <c r="J957" s="287">
        <f t="shared" si="199"/>
        <v>3333.3333333333335</v>
      </c>
      <c r="K957" s="301">
        <v>6.5</v>
      </c>
      <c r="L957" s="289">
        <f t="shared" si="200"/>
        <v>541.6666666666666</v>
      </c>
      <c r="M957" s="301">
        <v>4</v>
      </c>
      <c r="N957" s="289">
        <f t="shared" si="201"/>
        <v>333.3333333333333</v>
      </c>
      <c r="O957" s="302"/>
      <c r="P957" s="272"/>
      <c r="Q957" s="288"/>
      <c r="R957" s="289">
        <f t="shared" si="198"/>
        <v>0</v>
      </c>
      <c r="S957" s="284"/>
      <c r="T957" s="296"/>
      <c r="U957" s="250">
        <f t="shared" si="202"/>
        <v>4208</v>
      </c>
      <c r="V957" s="250">
        <v>4208</v>
      </c>
      <c r="W957" s="250">
        <v>4208</v>
      </c>
      <c r="X957" s="250">
        <v>4208</v>
      </c>
      <c r="Y957" s="293">
        <v>1000</v>
      </c>
      <c r="Z957" s="294"/>
      <c r="AA957" s="251"/>
      <c r="AB957" s="251"/>
    </row>
    <row r="958" spans="1:28" s="295" customFormat="1" ht="47.25" customHeight="1">
      <c r="A958" s="284">
        <v>786</v>
      </c>
      <c r="B958" s="284">
        <v>0</v>
      </c>
      <c r="C958" s="284" t="s">
        <v>960</v>
      </c>
      <c r="D958" s="284" t="s">
        <v>3740</v>
      </c>
      <c r="E958" s="285" t="s">
        <v>961</v>
      </c>
      <c r="F958" s="286" t="s">
        <v>961</v>
      </c>
      <c r="G958" s="284">
        <v>120</v>
      </c>
      <c r="H958" s="284">
        <v>40</v>
      </c>
      <c r="I958" s="284">
        <v>1</v>
      </c>
      <c r="J958" s="287">
        <f t="shared" si="199"/>
        <v>2333.3333333333335</v>
      </c>
      <c r="K958" s="301">
        <v>6.5</v>
      </c>
      <c r="L958" s="289">
        <f t="shared" si="200"/>
        <v>379.16666666666663</v>
      </c>
      <c r="M958" s="301">
        <v>4</v>
      </c>
      <c r="N958" s="289">
        <f t="shared" si="201"/>
        <v>233.33333333333334</v>
      </c>
      <c r="O958" s="302"/>
      <c r="P958" s="272"/>
      <c r="Q958" s="288"/>
      <c r="R958" s="289">
        <f t="shared" si="198"/>
        <v>0</v>
      </c>
      <c r="S958" s="284"/>
      <c r="T958" s="296"/>
      <c r="U958" s="250">
        <f>ROUND((J958+L958+N958+R958+T958),0)-1</f>
        <v>2945</v>
      </c>
      <c r="V958" s="250">
        <v>2945</v>
      </c>
      <c r="W958" s="250">
        <v>2945</v>
      </c>
      <c r="X958" s="250">
        <v>2945</v>
      </c>
      <c r="Y958" s="293">
        <v>700</v>
      </c>
      <c r="Z958" s="294"/>
      <c r="AA958" s="251"/>
      <c r="AB958" s="251"/>
    </row>
    <row r="959" spans="1:28" s="295" customFormat="1" ht="15.75">
      <c r="A959" s="284">
        <v>787</v>
      </c>
      <c r="B959" s="284">
        <v>0</v>
      </c>
      <c r="C959" s="284" t="s">
        <v>962</v>
      </c>
      <c r="D959" s="284" t="s">
        <v>3741</v>
      </c>
      <c r="E959" s="285" t="s">
        <v>963</v>
      </c>
      <c r="F959" s="286" t="s">
        <v>963</v>
      </c>
      <c r="G959" s="284">
        <v>200</v>
      </c>
      <c r="H959" s="284">
        <v>14</v>
      </c>
      <c r="I959" s="284">
        <v>0.95</v>
      </c>
      <c r="J959" s="287">
        <f t="shared" si="199"/>
        <v>14630.000000000002</v>
      </c>
      <c r="K959" s="301">
        <v>1.2</v>
      </c>
      <c r="L959" s="289">
        <f t="shared" si="200"/>
        <v>1320</v>
      </c>
      <c r="M959" s="301">
        <v>4</v>
      </c>
      <c r="N959" s="289">
        <f t="shared" si="201"/>
        <v>4400</v>
      </c>
      <c r="O959" s="302"/>
      <c r="P959" s="272"/>
      <c r="Q959" s="288"/>
      <c r="R959" s="289">
        <f t="shared" si="198"/>
        <v>0</v>
      </c>
      <c r="S959" s="284"/>
      <c r="T959" s="296"/>
      <c r="U959" s="250">
        <f t="shared" si="202"/>
        <v>20350</v>
      </c>
      <c r="V959" s="250">
        <v>20350</v>
      </c>
      <c r="W959" s="250">
        <v>20350</v>
      </c>
      <c r="X959" s="250">
        <v>20350</v>
      </c>
      <c r="Y959" s="293">
        <v>22000</v>
      </c>
      <c r="Z959" s="294"/>
      <c r="AA959" s="251"/>
      <c r="AB959" s="251"/>
    </row>
    <row r="960" spans="1:28" s="295" customFormat="1" ht="15.75">
      <c r="A960" s="284">
        <v>788</v>
      </c>
      <c r="B960" s="284">
        <v>0</v>
      </c>
      <c r="C960" s="284" t="s">
        <v>964</v>
      </c>
      <c r="D960" s="284" t="s">
        <v>3742</v>
      </c>
      <c r="E960" s="285" t="s">
        <v>3153</v>
      </c>
      <c r="F960" s="286" t="s">
        <v>965</v>
      </c>
      <c r="G960" s="284">
        <v>200</v>
      </c>
      <c r="H960" s="284">
        <v>14</v>
      </c>
      <c r="I960" s="284">
        <v>1</v>
      </c>
      <c r="J960" s="287">
        <f t="shared" si="199"/>
        <v>5530</v>
      </c>
      <c r="K960" s="301">
        <v>1.8</v>
      </c>
      <c r="L960" s="289">
        <f t="shared" si="200"/>
        <v>711.0000000000001</v>
      </c>
      <c r="M960" s="301">
        <v>4</v>
      </c>
      <c r="N960" s="289">
        <f t="shared" si="201"/>
        <v>1580</v>
      </c>
      <c r="O960" s="302"/>
      <c r="P960" s="272"/>
      <c r="Q960" s="288"/>
      <c r="R960" s="289">
        <f t="shared" si="198"/>
        <v>0</v>
      </c>
      <c r="S960" s="284"/>
      <c r="T960" s="296"/>
      <c r="U960" s="250">
        <f t="shared" si="202"/>
        <v>7821</v>
      </c>
      <c r="V960" s="250">
        <v>7821</v>
      </c>
      <c r="W960" s="250">
        <v>7821</v>
      </c>
      <c r="X960" s="250">
        <v>7821</v>
      </c>
      <c r="Y960" s="293">
        <v>7900</v>
      </c>
      <c r="Z960" s="294"/>
      <c r="AA960" s="251"/>
      <c r="AB960" s="251"/>
    </row>
    <row r="961" spans="1:28" s="295" customFormat="1" ht="31.5">
      <c r="A961" s="284">
        <v>789</v>
      </c>
      <c r="B961" s="284">
        <v>0</v>
      </c>
      <c r="C961" s="284" t="s">
        <v>966</v>
      </c>
      <c r="D961" s="284" t="s">
        <v>3779</v>
      </c>
      <c r="E961" s="285" t="s">
        <v>3154</v>
      </c>
      <c r="F961" s="286" t="s">
        <v>967</v>
      </c>
      <c r="G961" s="284">
        <v>200</v>
      </c>
      <c r="H961" s="284">
        <v>14</v>
      </c>
      <c r="I961" s="284">
        <v>0.95</v>
      </c>
      <c r="J961" s="287">
        <f t="shared" si="199"/>
        <v>24538.500000000004</v>
      </c>
      <c r="K961" s="301">
        <v>3</v>
      </c>
      <c r="L961" s="289">
        <f t="shared" si="200"/>
        <v>5535</v>
      </c>
      <c r="M961" s="301">
        <v>4</v>
      </c>
      <c r="N961" s="289">
        <f t="shared" si="201"/>
        <v>7380</v>
      </c>
      <c r="O961" s="302"/>
      <c r="P961" s="272"/>
      <c r="Q961" s="288"/>
      <c r="R961" s="289">
        <f t="shared" si="198"/>
        <v>0</v>
      </c>
      <c r="S961" s="284"/>
      <c r="T961" s="296"/>
      <c r="U961" s="250">
        <f t="shared" si="202"/>
        <v>37454</v>
      </c>
      <c r="V961" s="250">
        <v>37454</v>
      </c>
      <c r="W961" s="250">
        <v>37454</v>
      </c>
      <c r="X961" s="250">
        <v>37454</v>
      </c>
      <c r="Y961" s="293">
        <v>36900</v>
      </c>
      <c r="Z961" s="294"/>
      <c r="AA961" s="251"/>
      <c r="AB961" s="251"/>
    </row>
    <row r="962" spans="1:28" s="295" customFormat="1" ht="31.5">
      <c r="A962" s="284">
        <v>790</v>
      </c>
      <c r="B962" s="284">
        <v>0</v>
      </c>
      <c r="C962" s="284" t="s">
        <v>968</v>
      </c>
      <c r="D962" s="284" t="s">
        <v>3743</v>
      </c>
      <c r="E962" s="285" t="s">
        <v>481</v>
      </c>
      <c r="F962" s="286" t="s">
        <v>481</v>
      </c>
      <c r="G962" s="284">
        <v>200</v>
      </c>
      <c r="H962" s="284">
        <v>14</v>
      </c>
      <c r="I962" s="284">
        <v>0.95</v>
      </c>
      <c r="J962" s="287">
        <f t="shared" si="199"/>
        <v>38902.5</v>
      </c>
      <c r="K962" s="301">
        <v>2.5</v>
      </c>
      <c r="L962" s="289">
        <f t="shared" si="200"/>
        <v>7312.5</v>
      </c>
      <c r="M962" s="301">
        <v>4</v>
      </c>
      <c r="N962" s="289">
        <f t="shared" si="201"/>
        <v>11700</v>
      </c>
      <c r="O962" s="302"/>
      <c r="P962" s="272"/>
      <c r="Q962" s="288"/>
      <c r="R962" s="289">
        <f t="shared" si="198"/>
        <v>0</v>
      </c>
      <c r="S962" s="284"/>
      <c r="T962" s="296"/>
      <c r="U962" s="250">
        <f t="shared" si="202"/>
        <v>57915</v>
      </c>
      <c r="V962" s="250">
        <v>57915</v>
      </c>
      <c r="W962" s="250">
        <v>57915</v>
      </c>
      <c r="X962" s="250">
        <v>57915</v>
      </c>
      <c r="Y962" s="293">
        <v>58500</v>
      </c>
      <c r="Z962" s="294"/>
      <c r="AA962" s="251"/>
      <c r="AB962" s="251"/>
    </row>
    <row r="963" spans="1:28" s="295" customFormat="1" ht="47.25">
      <c r="A963" s="284">
        <v>791</v>
      </c>
      <c r="B963" s="284">
        <v>0</v>
      </c>
      <c r="C963" s="284" t="s">
        <v>482</v>
      </c>
      <c r="D963" s="284" t="s">
        <v>3744</v>
      </c>
      <c r="E963" s="285" t="s">
        <v>483</v>
      </c>
      <c r="F963" s="286" t="s">
        <v>483</v>
      </c>
      <c r="G963" s="284">
        <v>200</v>
      </c>
      <c r="H963" s="284">
        <v>14</v>
      </c>
      <c r="I963" s="284">
        <v>0.95</v>
      </c>
      <c r="J963" s="287">
        <f t="shared" si="199"/>
        <v>89043.50000000001</v>
      </c>
      <c r="K963" s="301">
        <v>2.2</v>
      </c>
      <c r="L963" s="289">
        <f t="shared" si="200"/>
        <v>14729.000000000002</v>
      </c>
      <c r="M963" s="301">
        <v>4</v>
      </c>
      <c r="N963" s="289">
        <f t="shared" si="201"/>
        <v>26780</v>
      </c>
      <c r="O963" s="302"/>
      <c r="P963" s="272"/>
      <c r="Q963" s="288"/>
      <c r="R963" s="289">
        <f t="shared" si="198"/>
        <v>0</v>
      </c>
      <c r="S963" s="284"/>
      <c r="T963" s="296"/>
      <c r="U963" s="250">
        <f t="shared" si="202"/>
        <v>130553</v>
      </c>
      <c r="V963" s="250">
        <v>130553</v>
      </c>
      <c r="W963" s="250">
        <v>130553</v>
      </c>
      <c r="X963" s="250">
        <v>130553</v>
      </c>
      <c r="Y963" s="293">
        <v>133900</v>
      </c>
      <c r="Z963" s="294"/>
      <c r="AA963" s="251"/>
      <c r="AB963" s="251"/>
    </row>
    <row r="964" spans="1:28" s="295" customFormat="1" ht="94.5">
      <c r="A964" s="284">
        <v>792</v>
      </c>
      <c r="B964" s="284">
        <v>0</v>
      </c>
      <c r="C964" s="284" t="s">
        <v>484</v>
      </c>
      <c r="D964" s="284" t="s">
        <v>3745</v>
      </c>
      <c r="E964" s="285" t="s">
        <v>485</v>
      </c>
      <c r="F964" s="286" t="s">
        <v>485</v>
      </c>
      <c r="G964" s="284">
        <v>200</v>
      </c>
      <c r="H964" s="284">
        <v>14</v>
      </c>
      <c r="I964" s="284">
        <v>0.95</v>
      </c>
      <c r="J964" s="287">
        <f t="shared" si="199"/>
        <v>37240</v>
      </c>
      <c r="K964" s="301">
        <v>2.5</v>
      </c>
      <c r="L964" s="289">
        <f t="shared" si="200"/>
        <v>7000</v>
      </c>
      <c r="M964" s="301">
        <v>4</v>
      </c>
      <c r="N964" s="289">
        <f t="shared" si="201"/>
        <v>11200</v>
      </c>
      <c r="O964" s="302"/>
      <c r="P964" s="272"/>
      <c r="Q964" s="288"/>
      <c r="R964" s="289">
        <f t="shared" si="198"/>
        <v>0</v>
      </c>
      <c r="S964" s="284"/>
      <c r="T964" s="296"/>
      <c r="U964" s="250">
        <f t="shared" si="202"/>
        <v>55440</v>
      </c>
      <c r="V964" s="250">
        <v>55440</v>
      </c>
      <c r="W964" s="250">
        <v>55440</v>
      </c>
      <c r="X964" s="250">
        <v>55440</v>
      </c>
      <c r="Y964" s="293">
        <v>56000</v>
      </c>
      <c r="Z964" s="294"/>
      <c r="AA964" s="251"/>
      <c r="AB964" s="251"/>
    </row>
    <row r="965" spans="1:28" s="295" customFormat="1" ht="15.75">
      <c r="A965" s="284">
        <v>793</v>
      </c>
      <c r="B965" s="284">
        <v>0</v>
      </c>
      <c r="C965" s="284" t="s">
        <v>486</v>
      </c>
      <c r="D965" s="284" t="s">
        <v>3746</v>
      </c>
      <c r="E965" s="285" t="s">
        <v>487</v>
      </c>
      <c r="F965" s="286" t="s">
        <v>487</v>
      </c>
      <c r="G965" s="284">
        <v>200</v>
      </c>
      <c r="H965" s="284">
        <v>14</v>
      </c>
      <c r="I965" s="284">
        <v>0.95</v>
      </c>
      <c r="J965" s="287">
        <f t="shared" si="199"/>
        <v>4987.5</v>
      </c>
      <c r="K965" s="301">
        <v>3.5</v>
      </c>
      <c r="L965" s="289">
        <f t="shared" si="200"/>
        <v>1312.5</v>
      </c>
      <c r="M965" s="301">
        <v>4</v>
      </c>
      <c r="N965" s="289">
        <f t="shared" si="201"/>
        <v>1500</v>
      </c>
      <c r="O965" s="302"/>
      <c r="P965" s="272"/>
      <c r="Q965" s="288"/>
      <c r="R965" s="289">
        <f t="shared" si="198"/>
        <v>0</v>
      </c>
      <c r="S965" s="284"/>
      <c r="T965" s="296"/>
      <c r="U965" s="250">
        <v>8063</v>
      </c>
      <c r="V965" s="250">
        <v>8063</v>
      </c>
      <c r="W965" s="250">
        <v>8063</v>
      </c>
      <c r="X965" s="250">
        <v>8063</v>
      </c>
      <c r="Y965" s="293">
        <v>7500</v>
      </c>
      <c r="Z965" s="294"/>
      <c r="AA965" s="251"/>
      <c r="AB965" s="251"/>
    </row>
    <row r="966" spans="1:28" s="295" customFormat="1" ht="15.75">
      <c r="A966" s="297"/>
      <c r="B966" s="284"/>
      <c r="C966" s="298" t="s">
        <v>488</v>
      </c>
      <c r="D966" s="284"/>
      <c r="E966" s="272"/>
      <c r="F966" s="149" t="s">
        <v>489</v>
      </c>
      <c r="G966" s="284"/>
      <c r="H966" s="284"/>
      <c r="I966" s="284"/>
      <c r="J966" s="299"/>
      <c r="K966" s="301"/>
      <c r="L966" s="289"/>
      <c r="M966" s="301"/>
      <c r="N966" s="300"/>
      <c r="O966" s="302"/>
      <c r="P966" s="272"/>
      <c r="Q966" s="288"/>
      <c r="R966" s="289"/>
      <c r="S966" s="284"/>
      <c r="T966" s="296"/>
      <c r="U966" s="250"/>
      <c r="V966" s="250"/>
      <c r="W966" s="250"/>
      <c r="X966" s="250"/>
      <c r="Y966" s="293"/>
      <c r="Z966" s="385"/>
      <c r="AA966" s="251"/>
      <c r="AB966" s="251"/>
    </row>
    <row r="967" spans="1:28" s="295" customFormat="1" ht="31.5">
      <c r="A967" s="284">
        <v>794</v>
      </c>
      <c r="B967" s="284" t="s">
        <v>777</v>
      </c>
      <c r="C967" s="284" t="s">
        <v>490</v>
      </c>
      <c r="D967" s="284" t="s">
        <v>3747</v>
      </c>
      <c r="E967" s="285" t="s">
        <v>24</v>
      </c>
      <c r="F967" s="286" t="s">
        <v>491</v>
      </c>
      <c r="G967" s="284">
        <v>150</v>
      </c>
      <c r="H967" s="284">
        <v>20</v>
      </c>
      <c r="I967" s="284">
        <v>0.95</v>
      </c>
      <c r="J967" s="287">
        <f>Y967*H967%*I967/G967*1000</f>
        <v>132113.33333333334</v>
      </c>
      <c r="K967" s="301">
        <v>3</v>
      </c>
      <c r="L967" s="289">
        <f>(Y967*K967%)/G967*1000</f>
        <v>20860</v>
      </c>
      <c r="M967" s="301">
        <v>4</v>
      </c>
      <c r="N967" s="289">
        <f>(Y967*M967%)/G967*1000</f>
        <v>27813.333333333332</v>
      </c>
      <c r="O967" s="302">
        <v>1.8</v>
      </c>
      <c r="P967" s="272" t="s">
        <v>433</v>
      </c>
      <c r="Q967" s="288">
        <v>1.07</v>
      </c>
      <c r="R967" s="289">
        <f>O967*dien*Q967</f>
        <v>2193.7140000000004</v>
      </c>
      <c r="S967" s="284"/>
      <c r="T967" s="324"/>
      <c r="U967" s="250">
        <f>ROUND((J967+L967+N967+R967+T967),0)</f>
        <v>182980</v>
      </c>
      <c r="V967" s="250">
        <v>182980</v>
      </c>
      <c r="W967" s="250">
        <v>182980</v>
      </c>
      <c r="X967" s="250">
        <v>182980</v>
      </c>
      <c r="Y967" s="293">
        <v>104300</v>
      </c>
      <c r="Z967" s="294"/>
      <c r="AA967" s="251"/>
      <c r="AB967" s="251"/>
    </row>
    <row r="968" spans="1:28" s="295" customFormat="1" ht="15.75">
      <c r="A968" s="284">
        <v>795</v>
      </c>
      <c r="B968" s="284" t="e">
        <v>#N/A</v>
      </c>
      <c r="C968" s="284" t="s">
        <v>492</v>
      </c>
      <c r="D968" s="284" t="s">
        <v>3748</v>
      </c>
      <c r="E968" s="285" t="s">
        <v>25</v>
      </c>
      <c r="F968" s="286" t="s">
        <v>493</v>
      </c>
      <c r="G968" s="284">
        <v>220</v>
      </c>
      <c r="H968" s="284">
        <v>20</v>
      </c>
      <c r="I968" s="284">
        <v>0.95</v>
      </c>
      <c r="J968" s="287">
        <f>Y968*H968%*I968/G968*1000</f>
        <v>75309.09090909091</v>
      </c>
      <c r="K968" s="301">
        <v>3</v>
      </c>
      <c r="L968" s="289">
        <f>(Y968*K968%)/G968*1000</f>
        <v>11890.90909090909</v>
      </c>
      <c r="M968" s="301">
        <v>4</v>
      </c>
      <c r="N968" s="289">
        <f>(Y968*M968%)/G968*1000</f>
        <v>15854.545454545456</v>
      </c>
      <c r="O968" s="302">
        <v>1.8</v>
      </c>
      <c r="P968" s="272" t="s">
        <v>433</v>
      </c>
      <c r="Q968" s="288">
        <v>1.07</v>
      </c>
      <c r="R968" s="289">
        <f>O968*dien*Q968</f>
        <v>2193.7140000000004</v>
      </c>
      <c r="S968" s="284"/>
      <c r="T968" s="324"/>
      <c r="U968" s="250">
        <f>ROUND((J968+L968+N968+R968+T968),0)</f>
        <v>105248</v>
      </c>
      <c r="V968" s="250">
        <v>105248</v>
      </c>
      <c r="W968" s="250">
        <v>105248</v>
      </c>
      <c r="X968" s="250">
        <v>105248</v>
      </c>
      <c r="Y968" s="293">
        <v>87200</v>
      </c>
      <c r="Z968" s="294"/>
      <c r="AA968" s="251"/>
      <c r="AB968" s="251"/>
    </row>
    <row r="969" spans="1:28" s="295" customFormat="1" ht="15.75">
      <c r="A969" s="284">
        <v>796</v>
      </c>
      <c r="B969" s="284" t="e">
        <v>#N/A</v>
      </c>
      <c r="C969" s="284" t="s">
        <v>494</v>
      </c>
      <c r="D969" s="284" t="s">
        <v>3749</v>
      </c>
      <c r="E969" s="285" t="s">
        <v>495</v>
      </c>
      <c r="F969" s="286" t="s">
        <v>495</v>
      </c>
      <c r="G969" s="284">
        <v>220</v>
      </c>
      <c r="H969" s="284">
        <v>20</v>
      </c>
      <c r="I969" s="284">
        <v>1</v>
      </c>
      <c r="J969" s="287">
        <f>Y969*H969%*I969/G969*1000</f>
        <v>8000</v>
      </c>
      <c r="K969" s="301">
        <v>4</v>
      </c>
      <c r="L969" s="289">
        <f>(Y969*K969%)/G969*1000</f>
        <v>1600</v>
      </c>
      <c r="M969" s="301">
        <v>4</v>
      </c>
      <c r="N969" s="289">
        <f>(Y969*M969%)/G969*1000</f>
        <v>1600</v>
      </c>
      <c r="O969" s="302">
        <v>1.6</v>
      </c>
      <c r="P969" s="272" t="s">
        <v>433</v>
      </c>
      <c r="Q969" s="288">
        <v>1.07</v>
      </c>
      <c r="R969" s="289">
        <f>O969*dien*Q969</f>
        <v>1949.9680000000003</v>
      </c>
      <c r="S969" s="284"/>
      <c r="T969" s="324"/>
      <c r="U969" s="250">
        <f>ROUND((J969+L969+N969+R969+T969),0)</f>
        <v>13150</v>
      </c>
      <c r="V969" s="250">
        <v>13150</v>
      </c>
      <c r="W969" s="250">
        <v>13150</v>
      </c>
      <c r="X969" s="250">
        <v>13150</v>
      </c>
      <c r="Y969" s="293">
        <v>8800</v>
      </c>
      <c r="Z969" s="294"/>
      <c r="AA969" s="251"/>
      <c r="AB969" s="251"/>
    </row>
    <row r="970" spans="1:28" s="295" customFormat="1" ht="15.75">
      <c r="A970" s="284">
        <v>797</v>
      </c>
      <c r="B970" s="284">
        <v>0</v>
      </c>
      <c r="C970" s="284" t="s">
        <v>496</v>
      </c>
      <c r="D970" s="284" t="s">
        <v>3750</v>
      </c>
      <c r="E970" s="285" t="s">
        <v>497</v>
      </c>
      <c r="F970" s="286" t="s">
        <v>497</v>
      </c>
      <c r="G970" s="284">
        <v>220</v>
      </c>
      <c r="H970" s="284">
        <v>20</v>
      </c>
      <c r="I970" s="284">
        <v>0.95</v>
      </c>
      <c r="J970" s="287">
        <f>Y970*H970%*I970/G970*1000</f>
        <v>14250</v>
      </c>
      <c r="K970" s="301">
        <v>3.5</v>
      </c>
      <c r="L970" s="289">
        <f>(Y970*K970%)/G970*1000</f>
        <v>2625</v>
      </c>
      <c r="M970" s="301">
        <v>4</v>
      </c>
      <c r="N970" s="289">
        <f>(Y970*M970%)/G970*1000</f>
        <v>3000</v>
      </c>
      <c r="O970" s="302">
        <v>0.8</v>
      </c>
      <c r="P970" s="272" t="s">
        <v>433</v>
      </c>
      <c r="Q970" s="288">
        <v>1.07</v>
      </c>
      <c r="R970" s="289">
        <f>O970*dien*Q970</f>
        <v>974.9840000000002</v>
      </c>
      <c r="S970" s="284"/>
      <c r="T970" s="324"/>
      <c r="U970" s="250">
        <f>ROUND((J970+L970+N970+R970+T970),0)</f>
        <v>20850</v>
      </c>
      <c r="V970" s="250">
        <v>20850</v>
      </c>
      <c r="W970" s="250">
        <v>20850</v>
      </c>
      <c r="X970" s="250">
        <v>20850</v>
      </c>
      <c r="Y970" s="293">
        <v>16500</v>
      </c>
      <c r="Z970" s="294"/>
      <c r="AA970" s="251"/>
      <c r="AB970" s="251"/>
    </row>
    <row r="971" spans="1:28" s="295" customFormat="1" ht="15.75">
      <c r="A971" s="297"/>
      <c r="B971" s="284"/>
      <c r="C971" s="298"/>
      <c r="D971" s="284"/>
      <c r="E971" s="272"/>
      <c r="F971" s="149" t="s">
        <v>498</v>
      </c>
      <c r="G971" s="284"/>
      <c r="H971" s="284"/>
      <c r="I971" s="284"/>
      <c r="J971" s="299"/>
      <c r="K971" s="301"/>
      <c r="L971" s="289"/>
      <c r="M971" s="301"/>
      <c r="N971" s="300"/>
      <c r="O971" s="302"/>
      <c r="P971" s="272"/>
      <c r="Q971" s="288"/>
      <c r="R971" s="300"/>
      <c r="S971" s="284"/>
      <c r="T971" s="324"/>
      <c r="U971" s="250"/>
      <c r="V971" s="250"/>
      <c r="W971" s="250"/>
      <c r="X971" s="250"/>
      <c r="Y971" s="293"/>
      <c r="Z971" s="385"/>
      <c r="AA971" s="251"/>
      <c r="AB971" s="251"/>
    </row>
    <row r="972" spans="1:28" s="295" customFormat="1" ht="15.75">
      <c r="A972" s="284">
        <v>798</v>
      </c>
      <c r="B972" s="284">
        <v>0</v>
      </c>
      <c r="C972" s="284" t="s">
        <v>499</v>
      </c>
      <c r="D972" s="284" t="s">
        <v>3751</v>
      </c>
      <c r="E972" s="285" t="s">
        <v>26</v>
      </c>
      <c r="F972" s="286" t="s">
        <v>500</v>
      </c>
      <c r="G972" s="284">
        <v>220</v>
      </c>
      <c r="H972" s="284">
        <v>14</v>
      </c>
      <c r="I972" s="284">
        <v>0.95</v>
      </c>
      <c r="J972" s="287">
        <f aca="true" t="shared" si="203" ref="J972:J999">Y972*H972%*I972/G972*1000</f>
        <v>267995</v>
      </c>
      <c r="K972" s="301">
        <v>3.52</v>
      </c>
      <c r="L972" s="289">
        <f aca="true" t="shared" si="204" ref="L972:L999">(Y972*K972%)/G972*1000</f>
        <v>70928.00000000001</v>
      </c>
      <c r="M972" s="301">
        <v>5</v>
      </c>
      <c r="N972" s="289">
        <f aca="true" t="shared" si="205" ref="N972:N999">(Y972*M972%)/G972*1000</f>
        <v>100750</v>
      </c>
      <c r="O972" s="302"/>
      <c r="P972" s="272"/>
      <c r="Q972" s="288"/>
      <c r="R972" s="300"/>
      <c r="S972" s="284"/>
      <c r="T972" s="324"/>
      <c r="U972" s="250">
        <f aca="true" t="shared" si="206" ref="U972:U999">ROUND((J972+L972+N972+R972+T972),0)</f>
        <v>439673</v>
      </c>
      <c r="V972" s="250">
        <v>439673</v>
      </c>
      <c r="W972" s="250">
        <v>439673</v>
      </c>
      <c r="X972" s="250">
        <v>439673</v>
      </c>
      <c r="Y972" s="293">
        <v>443300</v>
      </c>
      <c r="Z972" s="294"/>
      <c r="AA972" s="251"/>
      <c r="AB972" s="251"/>
    </row>
    <row r="973" spans="1:28" s="295" customFormat="1" ht="31.5">
      <c r="A973" s="284">
        <v>799</v>
      </c>
      <c r="B973" s="284">
        <v>0</v>
      </c>
      <c r="C973" s="284" t="s">
        <v>501</v>
      </c>
      <c r="D973" s="284" t="s">
        <v>3752</v>
      </c>
      <c r="E973" s="285" t="s">
        <v>45</v>
      </c>
      <c r="F973" s="286" t="s">
        <v>502</v>
      </c>
      <c r="G973" s="284">
        <v>220</v>
      </c>
      <c r="H973" s="284">
        <v>14</v>
      </c>
      <c r="I973" s="284">
        <v>0.95</v>
      </c>
      <c r="J973" s="287">
        <f t="shared" si="203"/>
        <v>26358.18181818182</v>
      </c>
      <c r="K973" s="301">
        <v>3.52</v>
      </c>
      <c r="L973" s="289">
        <f t="shared" si="204"/>
        <v>6976</v>
      </c>
      <c r="M973" s="301">
        <v>5</v>
      </c>
      <c r="N973" s="289">
        <f t="shared" si="205"/>
        <v>9909.090909090908</v>
      </c>
      <c r="O973" s="302"/>
      <c r="P973" s="272"/>
      <c r="Q973" s="288"/>
      <c r="R973" s="300"/>
      <c r="S973" s="284"/>
      <c r="T973" s="324"/>
      <c r="U973" s="250">
        <f t="shared" si="206"/>
        <v>43243</v>
      </c>
      <c r="V973" s="250">
        <v>43243</v>
      </c>
      <c r="W973" s="250">
        <v>43243</v>
      </c>
      <c r="X973" s="250">
        <v>43243</v>
      </c>
      <c r="Y973" s="293">
        <v>43600</v>
      </c>
      <c r="Z973" s="294"/>
      <c r="AA973" s="251"/>
      <c r="AB973" s="251"/>
    </row>
    <row r="974" spans="1:28" s="295" customFormat="1" ht="31.5">
      <c r="A974" s="284">
        <v>800</v>
      </c>
      <c r="B974" s="284">
        <v>0</v>
      </c>
      <c r="C974" s="284" t="s">
        <v>503</v>
      </c>
      <c r="D974" s="284" t="s">
        <v>3753</v>
      </c>
      <c r="E974" s="285" t="s">
        <v>46</v>
      </c>
      <c r="F974" s="286" t="s">
        <v>504</v>
      </c>
      <c r="G974" s="284">
        <v>220</v>
      </c>
      <c r="H974" s="284">
        <v>14</v>
      </c>
      <c r="I974" s="284">
        <v>0.95</v>
      </c>
      <c r="J974" s="287">
        <f t="shared" si="203"/>
        <v>111055</v>
      </c>
      <c r="K974" s="301">
        <v>3.52</v>
      </c>
      <c r="L974" s="289">
        <f t="shared" si="204"/>
        <v>29392.000000000004</v>
      </c>
      <c r="M974" s="301">
        <v>5</v>
      </c>
      <c r="N974" s="289">
        <f t="shared" si="205"/>
        <v>41750</v>
      </c>
      <c r="O974" s="302"/>
      <c r="P974" s="272"/>
      <c r="Q974" s="288"/>
      <c r="R974" s="300"/>
      <c r="S974" s="284"/>
      <c r="T974" s="324"/>
      <c r="U974" s="250">
        <f t="shared" si="206"/>
        <v>182197</v>
      </c>
      <c r="V974" s="250">
        <v>182197</v>
      </c>
      <c r="W974" s="250">
        <v>182197</v>
      </c>
      <c r="X974" s="250">
        <v>182197</v>
      </c>
      <c r="Y974" s="293">
        <v>183700</v>
      </c>
      <c r="Z974" s="294"/>
      <c r="AA974" s="251"/>
      <c r="AB974" s="251"/>
    </row>
    <row r="975" spans="1:28" s="295" customFormat="1" ht="31.5">
      <c r="A975" s="284">
        <v>801</v>
      </c>
      <c r="B975" s="284">
        <v>0</v>
      </c>
      <c r="C975" s="284" t="s">
        <v>505</v>
      </c>
      <c r="D975" s="284" t="s">
        <v>3754</v>
      </c>
      <c r="E975" s="285" t="s">
        <v>47</v>
      </c>
      <c r="F975" s="286" t="s">
        <v>506</v>
      </c>
      <c r="G975" s="284">
        <v>220</v>
      </c>
      <c r="H975" s="284">
        <v>14</v>
      </c>
      <c r="I975" s="284">
        <v>0.95</v>
      </c>
      <c r="J975" s="287">
        <f t="shared" si="203"/>
        <v>527768.1818181819</v>
      </c>
      <c r="K975" s="301">
        <v>3.52</v>
      </c>
      <c r="L975" s="289">
        <f t="shared" si="204"/>
        <v>139680</v>
      </c>
      <c r="M975" s="301">
        <v>5</v>
      </c>
      <c r="N975" s="289">
        <f t="shared" si="205"/>
        <v>198409.0909090909</v>
      </c>
      <c r="O975" s="302"/>
      <c r="P975" s="272"/>
      <c r="Q975" s="288"/>
      <c r="R975" s="300"/>
      <c r="S975" s="284"/>
      <c r="T975" s="324"/>
      <c r="U975" s="250">
        <f t="shared" si="206"/>
        <v>865857</v>
      </c>
      <c r="V975" s="250">
        <v>865857</v>
      </c>
      <c r="W975" s="250">
        <v>865857</v>
      </c>
      <c r="X975" s="250">
        <v>865857</v>
      </c>
      <c r="Y975" s="293">
        <v>873000</v>
      </c>
      <c r="Z975" s="294"/>
      <c r="AA975" s="251"/>
      <c r="AB975" s="251"/>
    </row>
    <row r="976" spans="1:28" s="295" customFormat="1" ht="15.75">
      <c r="A976" s="284">
        <v>802</v>
      </c>
      <c r="B976" s="284">
        <v>0</v>
      </c>
      <c r="C976" s="284" t="s">
        <v>507</v>
      </c>
      <c r="D976" s="284" t="s">
        <v>3755</v>
      </c>
      <c r="E976" s="285" t="s">
        <v>48</v>
      </c>
      <c r="F976" s="286" t="s">
        <v>508</v>
      </c>
      <c r="G976" s="284">
        <v>220</v>
      </c>
      <c r="H976" s="284">
        <v>14</v>
      </c>
      <c r="I976" s="284">
        <v>0.95</v>
      </c>
      <c r="J976" s="287">
        <f t="shared" si="203"/>
        <v>498931.3636363637</v>
      </c>
      <c r="K976" s="301">
        <v>3.52</v>
      </c>
      <c r="L976" s="289">
        <f t="shared" si="204"/>
        <v>132048</v>
      </c>
      <c r="M976" s="301">
        <v>5</v>
      </c>
      <c r="N976" s="289">
        <f t="shared" si="205"/>
        <v>187568.18181818182</v>
      </c>
      <c r="O976" s="302"/>
      <c r="P976" s="272"/>
      <c r="Q976" s="288"/>
      <c r="R976" s="300"/>
      <c r="S976" s="284"/>
      <c r="T976" s="324"/>
      <c r="U976" s="250">
        <f t="shared" si="206"/>
        <v>818548</v>
      </c>
      <c r="V976" s="250">
        <v>818548</v>
      </c>
      <c r="W976" s="250">
        <v>818548</v>
      </c>
      <c r="X976" s="250">
        <v>818548</v>
      </c>
      <c r="Y976" s="293">
        <v>825300</v>
      </c>
      <c r="Z976" s="294"/>
      <c r="AA976" s="251"/>
      <c r="AB976" s="251"/>
    </row>
    <row r="977" spans="1:28" s="295" customFormat="1" ht="31.5">
      <c r="A977" s="284">
        <v>803</v>
      </c>
      <c r="B977" s="284">
        <v>0</v>
      </c>
      <c r="C977" s="284" t="s">
        <v>509</v>
      </c>
      <c r="D977" s="284" t="s">
        <v>3756</v>
      </c>
      <c r="E977" s="285" t="s">
        <v>49</v>
      </c>
      <c r="F977" s="286" t="s">
        <v>510</v>
      </c>
      <c r="G977" s="284">
        <v>220</v>
      </c>
      <c r="H977" s="284">
        <v>14</v>
      </c>
      <c r="I977" s="284">
        <v>0.95</v>
      </c>
      <c r="J977" s="287">
        <f t="shared" si="203"/>
        <v>853618.1818181819</v>
      </c>
      <c r="K977" s="301">
        <v>3.52</v>
      </c>
      <c r="L977" s="289">
        <f t="shared" si="204"/>
        <v>225920.00000000003</v>
      </c>
      <c r="M977" s="301">
        <v>5</v>
      </c>
      <c r="N977" s="289">
        <f t="shared" si="205"/>
        <v>320909.09090909094</v>
      </c>
      <c r="O977" s="302"/>
      <c r="P977" s="272"/>
      <c r="Q977" s="288"/>
      <c r="R977" s="300"/>
      <c r="S977" s="284"/>
      <c r="T977" s="324"/>
      <c r="U977" s="250">
        <f t="shared" si="206"/>
        <v>1400447</v>
      </c>
      <c r="V977" s="250">
        <v>1400447</v>
      </c>
      <c r="W977" s="250">
        <v>1400447</v>
      </c>
      <c r="X977" s="250">
        <v>1400447</v>
      </c>
      <c r="Y977" s="293">
        <v>1412000</v>
      </c>
      <c r="Z977" s="294"/>
      <c r="AA977" s="251"/>
      <c r="AB977" s="251"/>
    </row>
    <row r="978" spans="1:28" s="295" customFormat="1" ht="31.5">
      <c r="A978" s="284">
        <v>804</v>
      </c>
      <c r="B978" s="284">
        <v>0</v>
      </c>
      <c r="C978" s="284" t="s">
        <v>511</v>
      </c>
      <c r="D978" s="284" t="s">
        <v>3757</v>
      </c>
      <c r="E978" s="285" t="s">
        <v>50</v>
      </c>
      <c r="F978" s="286" t="s">
        <v>512</v>
      </c>
      <c r="G978" s="284">
        <v>220</v>
      </c>
      <c r="H978" s="284">
        <v>14</v>
      </c>
      <c r="I978" s="284">
        <v>0.95</v>
      </c>
      <c r="J978" s="287">
        <f t="shared" si="203"/>
        <v>267632.27272727276</v>
      </c>
      <c r="K978" s="301">
        <v>3.52</v>
      </c>
      <c r="L978" s="289">
        <f t="shared" si="204"/>
        <v>70832.00000000001</v>
      </c>
      <c r="M978" s="301">
        <v>5</v>
      </c>
      <c r="N978" s="289">
        <f t="shared" si="205"/>
        <v>100613.63636363635</v>
      </c>
      <c r="O978" s="302"/>
      <c r="P978" s="272"/>
      <c r="Q978" s="288"/>
      <c r="R978" s="300"/>
      <c r="S978" s="284"/>
      <c r="T978" s="324"/>
      <c r="U978" s="250">
        <f t="shared" si="206"/>
        <v>439078</v>
      </c>
      <c r="V978" s="250">
        <v>439078</v>
      </c>
      <c r="W978" s="250">
        <v>439078</v>
      </c>
      <c r="X978" s="250">
        <v>439078</v>
      </c>
      <c r="Y978" s="293">
        <v>442700</v>
      </c>
      <c r="Z978" s="294"/>
      <c r="AA978" s="251"/>
      <c r="AB978" s="251"/>
    </row>
    <row r="979" spans="1:28" s="295" customFormat="1" ht="31.5">
      <c r="A979" s="284">
        <v>805</v>
      </c>
      <c r="B979" s="284">
        <v>0</v>
      </c>
      <c r="C979" s="284" t="s">
        <v>513</v>
      </c>
      <c r="D979" s="284" t="s">
        <v>3758</v>
      </c>
      <c r="E979" s="285" t="s">
        <v>51</v>
      </c>
      <c r="F979" s="286" t="s">
        <v>514</v>
      </c>
      <c r="G979" s="284">
        <v>220</v>
      </c>
      <c r="H979" s="284">
        <v>14</v>
      </c>
      <c r="I979" s="284">
        <v>0.95</v>
      </c>
      <c r="J979" s="287">
        <f t="shared" si="203"/>
        <v>504070.00000000006</v>
      </c>
      <c r="K979" s="301">
        <v>3.52</v>
      </c>
      <c r="L979" s="289">
        <f t="shared" si="204"/>
        <v>133408.00000000003</v>
      </c>
      <c r="M979" s="301">
        <v>5</v>
      </c>
      <c r="N979" s="289">
        <f t="shared" si="205"/>
        <v>189500</v>
      </c>
      <c r="O979" s="302"/>
      <c r="P979" s="272"/>
      <c r="Q979" s="288"/>
      <c r="R979" s="300"/>
      <c r="S979" s="284"/>
      <c r="T979" s="324"/>
      <c r="U979" s="250">
        <f t="shared" si="206"/>
        <v>826978</v>
      </c>
      <c r="V979" s="250">
        <v>826978</v>
      </c>
      <c r="W979" s="250">
        <v>826978</v>
      </c>
      <c r="X979" s="250">
        <v>826978</v>
      </c>
      <c r="Y979" s="293">
        <v>833800</v>
      </c>
      <c r="Z979" s="294"/>
      <c r="AA979" s="251"/>
      <c r="AB979" s="251"/>
    </row>
    <row r="980" spans="1:28" s="295" customFormat="1" ht="31.5">
      <c r="A980" s="284">
        <v>806</v>
      </c>
      <c r="B980" s="284">
        <v>0</v>
      </c>
      <c r="C980" s="284" t="s">
        <v>515</v>
      </c>
      <c r="D980" s="284" t="s">
        <v>3759</v>
      </c>
      <c r="E980" s="285" t="s">
        <v>52</v>
      </c>
      <c r="F980" s="286" t="s">
        <v>516</v>
      </c>
      <c r="G980" s="284">
        <v>220</v>
      </c>
      <c r="H980" s="284">
        <v>14</v>
      </c>
      <c r="I980" s="284">
        <v>0.95</v>
      </c>
      <c r="J980" s="287">
        <f t="shared" si="203"/>
        <v>10458.636363636366</v>
      </c>
      <c r="K980" s="301">
        <v>3.52</v>
      </c>
      <c r="L980" s="289">
        <f t="shared" si="204"/>
        <v>2768.0000000000005</v>
      </c>
      <c r="M980" s="301">
        <v>5</v>
      </c>
      <c r="N980" s="289">
        <f t="shared" si="205"/>
        <v>3931.8181818181815</v>
      </c>
      <c r="O980" s="302"/>
      <c r="P980" s="272"/>
      <c r="Q980" s="288"/>
      <c r="R980" s="300"/>
      <c r="S980" s="284"/>
      <c r="T980" s="324"/>
      <c r="U980" s="250">
        <f t="shared" si="206"/>
        <v>17158</v>
      </c>
      <c r="V980" s="250">
        <v>17158</v>
      </c>
      <c r="W980" s="250">
        <v>17158</v>
      </c>
      <c r="X980" s="250">
        <v>17158</v>
      </c>
      <c r="Y980" s="293">
        <v>17300</v>
      </c>
      <c r="Z980" s="294"/>
      <c r="AA980" s="251"/>
      <c r="AB980" s="251"/>
    </row>
    <row r="981" spans="1:28" s="295" customFormat="1" ht="15.75">
      <c r="A981" s="284">
        <v>807</v>
      </c>
      <c r="B981" s="284">
        <v>0</v>
      </c>
      <c r="C981" s="284" t="s">
        <v>517</v>
      </c>
      <c r="D981" s="284" t="s">
        <v>3760</v>
      </c>
      <c r="E981" s="285" t="s">
        <v>53</v>
      </c>
      <c r="F981" s="286" t="s">
        <v>518</v>
      </c>
      <c r="G981" s="284">
        <v>220</v>
      </c>
      <c r="H981" s="284">
        <v>14</v>
      </c>
      <c r="I981" s="284">
        <v>0.95</v>
      </c>
      <c r="J981" s="287">
        <f t="shared" si="203"/>
        <v>96243.63636363637</v>
      </c>
      <c r="K981" s="301">
        <v>3.52</v>
      </c>
      <c r="L981" s="289">
        <f t="shared" si="204"/>
        <v>25472</v>
      </c>
      <c r="M981" s="301">
        <v>5</v>
      </c>
      <c r="N981" s="289">
        <f t="shared" si="205"/>
        <v>36181.81818181818</v>
      </c>
      <c r="O981" s="302"/>
      <c r="P981" s="272"/>
      <c r="Q981" s="288"/>
      <c r="R981" s="300"/>
      <c r="S981" s="284"/>
      <c r="T981" s="324"/>
      <c r="U981" s="250">
        <f t="shared" si="206"/>
        <v>157897</v>
      </c>
      <c r="V981" s="250">
        <v>157897</v>
      </c>
      <c r="W981" s="250">
        <v>157897</v>
      </c>
      <c r="X981" s="250">
        <v>157897</v>
      </c>
      <c r="Y981" s="293">
        <v>159200</v>
      </c>
      <c r="Z981" s="294"/>
      <c r="AA981" s="251"/>
      <c r="AB981" s="251"/>
    </row>
    <row r="982" spans="1:28" s="295" customFormat="1" ht="16.5" customHeight="1">
      <c r="A982" s="284">
        <v>808</v>
      </c>
      <c r="B982" s="284">
        <v>0</v>
      </c>
      <c r="C982" s="284" t="s">
        <v>519</v>
      </c>
      <c r="D982" s="284" t="s">
        <v>3761</v>
      </c>
      <c r="E982" s="285" t="s">
        <v>54</v>
      </c>
      <c r="F982" s="286" t="s">
        <v>520</v>
      </c>
      <c r="G982" s="284">
        <v>220</v>
      </c>
      <c r="H982" s="284">
        <v>14</v>
      </c>
      <c r="I982" s="284">
        <v>0.95</v>
      </c>
      <c r="J982" s="287">
        <f t="shared" si="203"/>
        <v>92253.63636363637</v>
      </c>
      <c r="K982" s="301">
        <v>3.52</v>
      </c>
      <c r="L982" s="289">
        <f t="shared" si="204"/>
        <v>24416</v>
      </c>
      <c r="M982" s="301">
        <v>5</v>
      </c>
      <c r="N982" s="289">
        <f t="shared" si="205"/>
        <v>34681.81818181818</v>
      </c>
      <c r="O982" s="302"/>
      <c r="P982" s="272"/>
      <c r="Q982" s="288"/>
      <c r="R982" s="300"/>
      <c r="S982" s="284"/>
      <c r="T982" s="324"/>
      <c r="U982" s="250">
        <f t="shared" si="206"/>
        <v>151351</v>
      </c>
      <c r="V982" s="250">
        <v>151351</v>
      </c>
      <c r="W982" s="250">
        <v>151351</v>
      </c>
      <c r="X982" s="250">
        <v>151351</v>
      </c>
      <c r="Y982" s="293">
        <v>152600</v>
      </c>
      <c r="Z982" s="294"/>
      <c r="AA982" s="251"/>
      <c r="AB982" s="251"/>
    </row>
    <row r="983" spans="1:28" s="295" customFormat="1" ht="16.5" customHeight="1">
      <c r="A983" s="284">
        <v>809</v>
      </c>
      <c r="B983" s="284">
        <v>0</v>
      </c>
      <c r="C983" s="284" t="s">
        <v>521</v>
      </c>
      <c r="D983" s="284" t="s">
        <v>3762</v>
      </c>
      <c r="E983" s="285" t="s">
        <v>55</v>
      </c>
      <c r="F983" s="286" t="s">
        <v>522</v>
      </c>
      <c r="G983" s="284">
        <v>220</v>
      </c>
      <c r="H983" s="284">
        <v>14</v>
      </c>
      <c r="I983" s="284">
        <v>0.95</v>
      </c>
      <c r="J983" s="287">
        <f t="shared" si="203"/>
        <v>79255.90909090909</v>
      </c>
      <c r="K983" s="301">
        <v>3.52</v>
      </c>
      <c r="L983" s="289">
        <f t="shared" si="204"/>
        <v>20976.000000000004</v>
      </c>
      <c r="M983" s="301">
        <v>5</v>
      </c>
      <c r="N983" s="289">
        <f t="shared" si="205"/>
        <v>29795.454545454548</v>
      </c>
      <c r="O983" s="302"/>
      <c r="P983" s="272"/>
      <c r="Q983" s="288"/>
      <c r="R983" s="300"/>
      <c r="S983" s="284"/>
      <c r="T983" s="324"/>
      <c r="U983" s="250">
        <f t="shared" si="206"/>
        <v>130027</v>
      </c>
      <c r="V983" s="250">
        <v>130027</v>
      </c>
      <c r="W983" s="250">
        <v>130027</v>
      </c>
      <c r="X983" s="250">
        <v>130027</v>
      </c>
      <c r="Y983" s="293">
        <v>131100</v>
      </c>
      <c r="Z983" s="294"/>
      <c r="AA983" s="251"/>
      <c r="AB983" s="251"/>
    </row>
    <row r="984" spans="1:28" s="295" customFormat="1" ht="34.5" customHeight="1">
      <c r="A984" s="284">
        <v>810</v>
      </c>
      <c r="B984" s="284">
        <v>0</v>
      </c>
      <c r="C984" s="284" t="s">
        <v>523</v>
      </c>
      <c r="D984" s="284" t="s">
        <v>3763</v>
      </c>
      <c r="E984" s="285" t="s">
        <v>56</v>
      </c>
      <c r="F984" s="286" t="s">
        <v>524</v>
      </c>
      <c r="G984" s="284">
        <v>220</v>
      </c>
      <c r="H984" s="284">
        <v>14</v>
      </c>
      <c r="I984" s="284">
        <v>0.95</v>
      </c>
      <c r="J984" s="287">
        <f t="shared" si="203"/>
        <v>19285</v>
      </c>
      <c r="K984" s="301">
        <v>3.52</v>
      </c>
      <c r="L984" s="289">
        <f t="shared" si="204"/>
        <v>5104</v>
      </c>
      <c r="M984" s="301">
        <v>5</v>
      </c>
      <c r="N984" s="289">
        <f t="shared" si="205"/>
        <v>7250</v>
      </c>
      <c r="O984" s="302"/>
      <c r="P984" s="272"/>
      <c r="Q984" s="288"/>
      <c r="R984" s="300"/>
      <c r="S984" s="284"/>
      <c r="T984" s="324"/>
      <c r="U984" s="250">
        <f t="shared" si="206"/>
        <v>31639</v>
      </c>
      <c r="V984" s="250">
        <v>31639</v>
      </c>
      <c r="W984" s="250">
        <v>31639</v>
      </c>
      <c r="X984" s="250">
        <v>31639</v>
      </c>
      <c r="Y984" s="293">
        <v>31900</v>
      </c>
      <c r="Z984" s="294"/>
      <c r="AA984" s="251"/>
      <c r="AB984" s="251"/>
    </row>
    <row r="985" spans="1:28" s="295" customFormat="1" ht="38.25" customHeight="1">
      <c r="A985" s="284">
        <v>811</v>
      </c>
      <c r="B985" s="284">
        <v>0</v>
      </c>
      <c r="C985" s="284" t="s">
        <v>525</v>
      </c>
      <c r="D985" s="284" t="s">
        <v>3764</v>
      </c>
      <c r="E985" s="285" t="s">
        <v>57</v>
      </c>
      <c r="F985" s="286" t="s">
        <v>526</v>
      </c>
      <c r="G985" s="284">
        <v>220</v>
      </c>
      <c r="H985" s="284">
        <v>14</v>
      </c>
      <c r="I985" s="284">
        <v>0.95</v>
      </c>
      <c r="J985" s="287">
        <f t="shared" si="203"/>
        <v>94732.27272727275</v>
      </c>
      <c r="K985" s="301">
        <v>3.52</v>
      </c>
      <c r="L985" s="289">
        <f t="shared" si="204"/>
        <v>25072</v>
      </c>
      <c r="M985" s="301">
        <v>5</v>
      </c>
      <c r="N985" s="289">
        <f t="shared" si="205"/>
        <v>35613.63636363637</v>
      </c>
      <c r="O985" s="302"/>
      <c r="P985" s="272"/>
      <c r="Q985" s="288"/>
      <c r="R985" s="300"/>
      <c r="S985" s="284"/>
      <c r="T985" s="324"/>
      <c r="U985" s="250">
        <f t="shared" si="206"/>
        <v>155418</v>
      </c>
      <c r="V985" s="250">
        <v>155418</v>
      </c>
      <c r="W985" s="250">
        <v>155418</v>
      </c>
      <c r="X985" s="250">
        <v>155418</v>
      </c>
      <c r="Y985" s="293">
        <v>156700</v>
      </c>
      <c r="Z985" s="294"/>
      <c r="AA985" s="251"/>
      <c r="AB985" s="251"/>
    </row>
    <row r="986" spans="1:28" s="295" customFormat="1" ht="31.5">
      <c r="A986" s="284">
        <v>812</v>
      </c>
      <c r="B986" s="284">
        <v>0</v>
      </c>
      <c r="C986" s="284" t="s">
        <v>527</v>
      </c>
      <c r="D986" s="284" t="s">
        <v>3770</v>
      </c>
      <c r="E986" s="285" t="s">
        <v>528</v>
      </c>
      <c r="F986" s="286" t="s">
        <v>528</v>
      </c>
      <c r="G986" s="284">
        <v>220</v>
      </c>
      <c r="H986" s="284">
        <v>14</v>
      </c>
      <c r="I986" s="284">
        <v>0.95</v>
      </c>
      <c r="J986" s="287">
        <f t="shared" si="203"/>
        <v>32222.27272727273</v>
      </c>
      <c r="K986" s="301">
        <v>3.52</v>
      </c>
      <c r="L986" s="289">
        <f t="shared" si="204"/>
        <v>8528</v>
      </c>
      <c r="M986" s="301">
        <v>5</v>
      </c>
      <c r="N986" s="289">
        <f t="shared" si="205"/>
        <v>12113.636363636364</v>
      </c>
      <c r="O986" s="302"/>
      <c r="P986" s="272"/>
      <c r="Q986" s="288"/>
      <c r="R986" s="300"/>
      <c r="S986" s="284"/>
      <c r="T986" s="324"/>
      <c r="U986" s="250">
        <f t="shared" si="206"/>
        <v>52864</v>
      </c>
      <c r="V986" s="250">
        <v>52864</v>
      </c>
      <c r="W986" s="250">
        <v>52864</v>
      </c>
      <c r="X986" s="250">
        <v>52864</v>
      </c>
      <c r="Y986" s="293">
        <v>53300</v>
      </c>
      <c r="Z986" s="294"/>
      <c r="AA986" s="251"/>
      <c r="AB986" s="251"/>
    </row>
    <row r="987" spans="1:28" s="295" customFormat="1" ht="31.5">
      <c r="A987" s="284">
        <v>813</v>
      </c>
      <c r="B987" s="284">
        <v>0</v>
      </c>
      <c r="C987" s="284" t="s">
        <v>529</v>
      </c>
      <c r="D987" s="284" t="s">
        <v>3771</v>
      </c>
      <c r="E987" s="285" t="s">
        <v>530</v>
      </c>
      <c r="F987" s="286" t="s">
        <v>530</v>
      </c>
      <c r="G987" s="284">
        <v>220</v>
      </c>
      <c r="H987" s="284">
        <v>14</v>
      </c>
      <c r="I987" s="284">
        <v>0.95</v>
      </c>
      <c r="J987" s="287">
        <f t="shared" si="203"/>
        <v>55315.9090909091</v>
      </c>
      <c r="K987" s="301">
        <v>3.52</v>
      </c>
      <c r="L987" s="289">
        <f t="shared" si="204"/>
        <v>14640</v>
      </c>
      <c r="M987" s="301">
        <v>5</v>
      </c>
      <c r="N987" s="289">
        <f t="shared" si="205"/>
        <v>20795.454545454548</v>
      </c>
      <c r="O987" s="302"/>
      <c r="P987" s="272"/>
      <c r="Q987" s="288"/>
      <c r="R987" s="300"/>
      <c r="S987" s="284"/>
      <c r="T987" s="324"/>
      <c r="U987" s="250">
        <f t="shared" si="206"/>
        <v>90751</v>
      </c>
      <c r="V987" s="250">
        <v>90751</v>
      </c>
      <c r="W987" s="250">
        <v>90751</v>
      </c>
      <c r="X987" s="250">
        <v>90751</v>
      </c>
      <c r="Y987" s="293">
        <v>91500</v>
      </c>
      <c r="Z987" s="294"/>
      <c r="AA987" s="251"/>
      <c r="AB987" s="251"/>
    </row>
    <row r="988" spans="1:28" s="295" customFormat="1" ht="31.5">
      <c r="A988" s="284">
        <v>814</v>
      </c>
      <c r="B988" s="284">
        <v>0</v>
      </c>
      <c r="C988" s="284" t="s">
        <v>531</v>
      </c>
      <c r="D988" s="284" t="s">
        <v>3765</v>
      </c>
      <c r="E988" s="285" t="s">
        <v>58</v>
      </c>
      <c r="F988" s="286" t="s">
        <v>532</v>
      </c>
      <c r="G988" s="284">
        <v>220</v>
      </c>
      <c r="H988" s="284">
        <v>14</v>
      </c>
      <c r="I988" s="284">
        <v>0.95</v>
      </c>
      <c r="J988" s="287">
        <f t="shared" si="203"/>
        <v>192608.18181818182</v>
      </c>
      <c r="K988" s="301">
        <v>3.52</v>
      </c>
      <c r="L988" s="289">
        <f t="shared" si="204"/>
        <v>50976.00000000001</v>
      </c>
      <c r="M988" s="301">
        <v>5</v>
      </c>
      <c r="N988" s="289">
        <f t="shared" si="205"/>
        <v>72409.09090909091</v>
      </c>
      <c r="O988" s="302"/>
      <c r="P988" s="272"/>
      <c r="Q988" s="288"/>
      <c r="R988" s="300"/>
      <c r="S988" s="284"/>
      <c r="T988" s="324"/>
      <c r="U988" s="250">
        <f t="shared" si="206"/>
        <v>315993</v>
      </c>
      <c r="V988" s="250">
        <v>315993</v>
      </c>
      <c r="W988" s="250">
        <v>315993</v>
      </c>
      <c r="X988" s="250">
        <v>315993</v>
      </c>
      <c r="Y988" s="293">
        <v>318600</v>
      </c>
      <c r="Z988" s="294"/>
      <c r="AA988" s="251"/>
      <c r="AB988" s="251"/>
    </row>
    <row r="989" spans="1:28" s="295" customFormat="1" ht="15.75">
      <c r="A989" s="284">
        <v>815</v>
      </c>
      <c r="B989" s="284">
        <v>0</v>
      </c>
      <c r="C989" s="284" t="s">
        <v>533</v>
      </c>
      <c r="D989" s="284" t="s">
        <v>3766</v>
      </c>
      <c r="E989" s="285" t="s">
        <v>534</v>
      </c>
      <c r="F989" s="286" t="s">
        <v>534</v>
      </c>
      <c r="G989" s="284">
        <v>220</v>
      </c>
      <c r="H989" s="284">
        <v>14</v>
      </c>
      <c r="I989" s="284">
        <v>0.95</v>
      </c>
      <c r="J989" s="287">
        <f t="shared" si="203"/>
        <v>38751.36363636363</v>
      </c>
      <c r="K989" s="301">
        <v>3.52</v>
      </c>
      <c r="L989" s="289">
        <f t="shared" si="204"/>
        <v>10256</v>
      </c>
      <c r="M989" s="301">
        <v>5</v>
      </c>
      <c r="N989" s="289">
        <f t="shared" si="205"/>
        <v>14568.181818181818</v>
      </c>
      <c r="O989" s="302"/>
      <c r="P989" s="272"/>
      <c r="Q989" s="288"/>
      <c r="R989" s="300"/>
      <c r="S989" s="284"/>
      <c r="T989" s="324"/>
      <c r="U989" s="250">
        <f t="shared" si="206"/>
        <v>63576</v>
      </c>
      <c r="V989" s="250">
        <v>63576</v>
      </c>
      <c r="W989" s="250">
        <v>63576</v>
      </c>
      <c r="X989" s="250">
        <v>63576</v>
      </c>
      <c r="Y989" s="293">
        <v>64100</v>
      </c>
      <c r="Z989" s="294"/>
      <c r="AA989" s="251"/>
      <c r="AB989" s="251"/>
    </row>
    <row r="990" spans="1:28" s="295" customFormat="1" ht="16.5" customHeight="1">
      <c r="A990" s="284">
        <v>816</v>
      </c>
      <c r="B990" s="284">
        <v>0</v>
      </c>
      <c r="C990" s="284" t="s">
        <v>535</v>
      </c>
      <c r="D990" s="284" t="s">
        <v>3772</v>
      </c>
      <c r="E990" s="285" t="s">
        <v>74</v>
      </c>
      <c r="F990" s="286" t="s">
        <v>536</v>
      </c>
      <c r="G990" s="284">
        <v>220</v>
      </c>
      <c r="H990" s="284">
        <v>14</v>
      </c>
      <c r="I990" s="284">
        <v>0.95</v>
      </c>
      <c r="J990" s="287">
        <f t="shared" si="203"/>
        <v>79739.54545454547</v>
      </c>
      <c r="K990" s="301">
        <v>3.52</v>
      </c>
      <c r="L990" s="289">
        <f t="shared" si="204"/>
        <v>21104</v>
      </c>
      <c r="M990" s="301">
        <v>5</v>
      </c>
      <c r="N990" s="289">
        <f t="shared" si="205"/>
        <v>29977.272727272728</v>
      </c>
      <c r="O990" s="302"/>
      <c r="P990" s="272"/>
      <c r="Q990" s="288"/>
      <c r="R990" s="300"/>
      <c r="S990" s="284"/>
      <c r="T990" s="324"/>
      <c r="U990" s="250">
        <f t="shared" si="206"/>
        <v>130821</v>
      </c>
      <c r="V990" s="250">
        <v>130821</v>
      </c>
      <c r="W990" s="250">
        <v>130821</v>
      </c>
      <c r="X990" s="250">
        <v>130821</v>
      </c>
      <c r="Y990" s="293">
        <v>131900</v>
      </c>
      <c r="Z990" s="294"/>
      <c r="AA990" s="251"/>
      <c r="AB990" s="251"/>
    </row>
    <row r="991" spans="1:28" s="295" customFormat="1" ht="16.5" customHeight="1">
      <c r="A991" s="284">
        <v>817</v>
      </c>
      <c r="B991" s="284">
        <v>0</v>
      </c>
      <c r="C991" s="284" t="s">
        <v>537</v>
      </c>
      <c r="D991" s="284" t="s">
        <v>3767</v>
      </c>
      <c r="E991" s="285" t="s">
        <v>59</v>
      </c>
      <c r="F991" s="286" t="s">
        <v>538</v>
      </c>
      <c r="G991" s="284">
        <v>220</v>
      </c>
      <c r="H991" s="284">
        <v>14</v>
      </c>
      <c r="I991" s="284">
        <v>0.95</v>
      </c>
      <c r="J991" s="287">
        <f t="shared" si="203"/>
        <v>274886.81818181823</v>
      </c>
      <c r="K991" s="301">
        <v>3.52</v>
      </c>
      <c r="L991" s="289">
        <f t="shared" si="204"/>
        <v>72752</v>
      </c>
      <c r="M991" s="301">
        <v>5</v>
      </c>
      <c r="N991" s="289">
        <f t="shared" si="205"/>
        <v>103340.90909090909</v>
      </c>
      <c r="O991" s="302"/>
      <c r="P991" s="272"/>
      <c r="Q991" s="288"/>
      <c r="R991" s="300"/>
      <c r="S991" s="284"/>
      <c r="T991" s="324"/>
      <c r="U991" s="250">
        <f t="shared" si="206"/>
        <v>450980</v>
      </c>
      <c r="V991" s="250">
        <v>450980</v>
      </c>
      <c r="W991" s="250">
        <v>450980</v>
      </c>
      <c r="X991" s="250">
        <v>450980</v>
      </c>
      <c r="Y991" s="293">
        <v>454700</v>
      </c>
      <c r="Z991" s="294"/>
      <c r="AA991" s="251"/>
      <c r="AB991" s="251"/>
    </row>
    <row r="992" spans="1:28" s="295" customFormat="1" ht="16.5" customHeight="1">
      <c r="A992" s="284">
        <v>818</v>
      </c>
      <c r="B992" s="284">
        <v>0</v>
      </c>
      <c r="C992" s="284" t="s">
        <v>539</v>
      </c>
      <c r="D992" s="284" t="s">
        <v>3773</v>
      </c>
      <c r="E992" s="285" t="s">
        <v>75</v>
      </c>
      <c r="F992" s="286" t="s">
        <v>540</v>
      </c>
      <c r="G992" s="284">
        <v>220</v>
      </c>
      <c r="H992" s="284">
        <v>14</v>
      </c>
      <c r="I992" s="284">
        <v>0.95</v>
      </c>
      <c r="J992" s="287">
        <f t="shared" si="203"/>
        <v>197263.18181818182</v>
      </c>
      <c r="K992" s="301">
        <v>3.52</v>
      </c>
      <c r="L992" s="289">
        <f t="shared" si="204"/>
        <v>52208</v>
      </c>
      <c r="M992" s="301">
        <v>5</v>
      </c>
      <c r="N992" s="289">
        <f t="shared" si="205"/>
        <v>74159.09090909091</v>
      </c>
      <c r="O992" s="302"/>
      <c r="P992" s="272"/>
      <c r="Q992" s="288"/>
      <c r="R992" s="300"/>
      <c r="S992" s="284"/>
      <c r="T992" s="324"/>
      <c r="U992" s="250">
        <f t="shared" si="206"/>
        <v>323630</v>
      </c>
      <c r="V992" s="250">
        <v>323630</v>
      </c>
      <c r="W992" s="250">
        <v>323630</v>
      </c>
      <c r="X992" s="250">
        <v>323630</v>
      </c>
      <c r="Y992" s="293">
        <v>326300</v>
      </c>
      <c r="Z992" s="294"/>
      <c r="AA992" s="251"/>
      <c r="AB992" s="251"/>
    </row>
    <row r="993" spans="1:28" s="295" customFormat="1" ht="16.5" customHeight="1">
      <c r="A993" s="284">
        <v>819</v>
      </c>
      <c r="B993" s="284">
        <v>0</v>
      </c>
      <c r="C993" s="284" t="s">
        <v>541</v>
      </c>
      <c r="D993" s="284" t="s">
        <v>3774</v>
      </c>
      <c r="E993" s="285" t="s">
        <v>542</v>
      </c>
      <c r="F993" s="286" t="s">
        <v>542</v>
      </c>
      <c r="G993" s="284">
        <v>220</v>
      </c>
      <c r="H993" s="284">
        <v>14</v>
      </c>
      <c r="I993" s="284">
        <v>0.95</v>
      </c>
      <c r="J993" s="287">
        <f t="shared" si="203"/>
        <v>70248.18181818182</v>
      </c>
      <c r="K993" s="301">
        <v>3.52</v>
      </c>
      <c r="L993" s="289">
        <f t="shared" si="204"/>
        <v>18592.000000000004</v>
      </c>
      <c r="M993" s="301">
        <v>5</v>
      </c>
      <c r="N993" s="289">
        <f t="shared" si="205"/>
        <v>26409.09090909091</v>
      </c>
      <c r="O993" s="302"/>
      <c r="P993" s="272"/>
      <c r="Q993" s="288"/>
      <c r="R993" s="300"/>
      <c r="S993" s="284"/>
      <c r="T993" s="324"/>
      <c r="U993" s="250">
        <f t="shared" si="206"/>
        <v>115249</v>
      </c>
      <c r="V993" s="250">
        <v>115249</v>
      </c>
      <c r="W993" s="250">
        <v>115249</v>
      </c>
      <c r="X993" s="250">
        <v>115249</v>
      </c>
      <c r="Y993" s="293">
        <v>116200</v>
      </c>
      <c r="Z993" s="294"/>
      <c r="AA993" s="251"/>
      <c r="AB993" s="251"/>
    </row>
    <row r="994" spans="1:28" s="295" customFormat="1" ht="16.5" customHeight="1">
      <c r="A994" s="284">
        <v>820</v>
      </c>
      <c r="B994" s="284">
        <v>0</v>
      </c>
      <c r="C994" s="284" t="s">
        <v>543</v>
      </c>
      <c r="D994" s="284" t="s">
        <v>3775</v>
      </c>
      <c r="E994" s="285" t="s">
        <v>544</v>
      </c>
      <c r="F994" s="286" t="s">
        <v>544</v>
      </c>
      <c r="G994" s="284">
        <v>220</v>
      </c>
      <c r="H994" s="284">
        <v>14</v>
      </c>
      <c r="I994" s="284">
        <v>0.95</v>
      </c>
      <c r="J994" s="287">
        <f t="shared" si="203"/>
        <v>97150.45454545454</v>
      </c>
      <c r="K994" s="301">
        <v>3.52</v>
      </c>
      <c r="L994" s="289">
        <f t="shared" si="204"/>
        <v>25712</v>
      </c>
      <c r="M994" s="301">
        <v>5</v>
      </c>
      <c r="N994" s="289">
        <f t="shared" si="205"/>
        <v>36522.72727272727</v>
      </c>
      <c r="O994" s="302"/>
      <c r="P994" s="272"/>
      <c r="Q994" s="288"/>
      <c r="R994" s="300"/>
      <c r="S994" s="284"/>
      <c r="T994" s="324"/>
      <c r="U994" s="250">
        <f t="shared" si="206"/>
        <v>159385</v>
      </c>
      <c r="V994" s="250">
        <v>159385</v>
      </c>
      <c r="W994" s="250">
        <v>159385</v>
      </c>
      <c r="X994" s="250">
        <v>159385</v>
      </c>
      <c r="Y994" s="293">
        <v>160700</v>
      </c>
      <c r="Z994" s="294"/>
      <c r="AA994" s="251"/>
      <c r="AB994" s="251"/>
    </row>
    <row r="995" spans="1:28" s="295" customFormat="1" ht="16.5" customHeight="1">
      <c r="A995" s="284">
        <v>821</v>
      </c>
      <c r="B995" s="284">
        <v>0</v>
      </c>
      <c r="C995" s="284" t="s">
        <v>545</v>
      </c>
      <c r="D995" s="284" t="s">
        <v>3750</v>
      </c>
      <c r="E995" s="285" t="s">
        <v>497</v>
      </c>
      <c r="F995" s="286" t="s">
        <v>497</v>
      </c>
      <c r="G995" s="284">
        <v>220</v>
      </c>
      <c r="H995" s="284">
        <v>14</v>
      </c>
      <c r="I995" s="284">
        <v>0.95</v>
      </c>
      <c r="J995" s="287">
        <f t="shared" si="203"/>
        <v>24967.727272727272</v>
      </c>
      <c r="K995" s="301">
        <v>3.52</v>
      </c>
      <c r="L995" s="289">
        <f t="shared" si="204"/>
        <v>6608</v>
      </c>
      <c r="M995" s="301">
        <v>5</v>
      </c>
      <c r="N995" s="289">
        <f t="shared" si="205"/>
        <v>9386.363636363636</v>
      </c>
      <c r="O995" s="302"/>
      <c r="P995" s="272"/>
      <c r="Q995" s="288"/>
      <c r="R995" s="300"/>
      <c r="S995" s="284"/>
      <c r="T995" s="324"/>
      <c r="U995" s="250">
        <f t="shared" si="206"/>
        <v>40962</v>
      </c>
      <c r="V995" s="250">
        <v>40962</v>
      </c>
      <c r="W995" s="250">
        <v>40962</v>
      </c>
      <c r="X995" s="250">
        <v>40962</v>
      </c>
      <c r="Y995" s="293">
        <v>41300</v>
      </c>
      <c r="Z995" s="294"/>
      <c r="AA995" s="251"/>
      <c r="AB995" s="251"/>
    </row>
    <row r="996" spans="1:28" s="295" customFormat="1" ht="16.5" customHeight="1">
      <c r="A996" s="284">
        <v>822</v>
      </c>
      <c r="B996" s="284">
        <v>0</v>
      </c>
      <c r="C996" s="284" t="s">
        <v>546</v>
      </c>
      <c r="D996" s="284" t="s">
        <v>3776</v>
      </c>
      <c r="E996" s="285" t="s">
        <v>547</v>
      </c>
      <c r="F996" s="286" t="s">
        <v>547</v>
      </c>
      <c r="G996" s="284">
        <v>220</v>
      </c>
      <c r="H996" s="284">
        <v>14</v>
      </c>
      <c r="I996" s="284">
        <v>0.95</v>
      </c>
      <c r="J996" s="287">
        <f t="shared" si="203"/>
        <v>87900.9090909091</v>
      </c>
      <c r="K996" s="301">
        <v>3.52</v>
      </c>
      <c r="L996" s="289">
        <f t="shared" si="204"/>
        <v>23264</v>
      </c>
      <c r="M996" s="301">
        <v>5</v>
      </c>
      <c r="N996" s="289">
        <f t="shared" si="205"/>
        <v>33045.454545454544</v>
      </c>
      <c r="O996" s="302"/>
      <c r="P996" s="272"/>
      <c r="Q996" s="288"/>
      <c r="R996" s="300"/>
      <c r="S996" s="284"/>
      <c r="T996" s="324"/>
      <c r="U996" s="250">
        <f t="shared" si="206"/>
        <v>144210</v>
      </c>
      <c r="V996" s="250">
        <v>144210</v>
      </c>
      <c r="W996" s="250">
        <v>144210</v>
      </c>
      <c r="X996" s="250">
        <v>144210</v>
      </c>
      <c r="Y996" s="293">
        <v>145400</v>
      </c>
      <c r="Z996" s="294"/>
      <c r="AA996" s="251"/>
      <c r="AB996" s="251"/>
    </row>
    <row r="997" spans="1:28" s="295" customFormat="1" ht="16.5" customHeight="1">
      <c r="A997" s="284">
        <v>823</v>
      </c>
      <c r="B997" s="284">
        <v>0</v>
      </c>
      <c r="C997" s="284" t="s">
        <v>548</v>
      </c>
      <c r="D997" s="284" t="s">
        <v>3777</v>
      </c>
      <c r="E997" s="285" t="s">
        <v>549</v>
      </c>
      <c r="F997" s="286" t="s">
        <v>549</v>
      </c>
      <c r="G997" s="284">
        <v>220</v>
      </c>
      <c r="H997" s="284">
        <v>14</v>
      </c>
      <c r="I997" s="284">
        <v>0.95</v>
      </c>
      <c r="J997" s="287">
        <f t="shared" si="203"/>
        <v>26600.000000000004</v>
      </c>
      <c r="K997" s="301">
        <v>3.52</v>
      </c>
      <c r="L997" s="289">
        <f t="shared" si="204"/>
        <v>7040.000000000001</v>
      </c>
      <c r="M997" s="301">
        <v>5</v>
      </c>
      <c r="N997" s="289">
        <f t="shared" si="205"/>
        <v>10000</v>
      </c>
      <c r="O997" s="302"/>
      <c r="P997" s="272"/>
      <c r="Q997" s="288"/>
      <c r="R997" s="300"/>
      <c r="S997" s="284"/>
      <c r="T997" s="324"/>
      <c r="U997" s="250">
        <f t="shared" si="206"/>
        <v>43640</v>
      </c>
      <c r="V997" s="250">
        <v>43640</v>
      </c>
      <c r="W997" s="250">
        <v>43640</v>
      </c>
      <c r="X997" s="250">
        <v>43640</v>
      </c>
      <c r="Y997" s="293">
        <v>44000</v>
      </c>
      <c r="Z997" s="294"/>
      <c r="AA997" s="251"/>
      <c r="AB997" s="251"/>
    </row>
    <row r="998" spans="1:28" s="295" customFormat="1" ht="16.5" customHeight="1">
      <c r="A998" s="284">
        <v>824</v>
      </c>
      <c r="B998" s="284">
        <v>0</v>
      </c>
      <c r="C998" s="284" t="s">
        <v>550</v>
      </c>
      <c r="D998" s="284" t="s">
        <v>3768</v>
      </c>
      <c r="E998" s="285" t="s">
        <v>76</v>
      </c>
      <c r="F998" s="286" t="s">
        <v>551</v>
      </c>
      <c r="G998" s="284">
        <v>220</v>
      </c>
      <c r="H998" s="284">
        <v>14</v>
      </c>
      <c r="I998" s="284">
        <v>0.95</v>
      </c>
      <c r="J998" s="287">
        <f t="shared" si="203"/>
        <v>45522.272727272735</v>
      </c>
      <c r="K998" s="301">
        <v>3.52</v>
      </c>
      <c r="L998" s="289">
        <f t="shared" si="204"/>
        <v>12048</v>
      </c>
      <c r="M998" s="301">
        <v>5</v>
      </c>
      <c r="N998" s="289">
        <f t="shared" si="205"/>
        <v>17113.636363636364</v>
      </c>
      <c r="O998" s="302"/>
      <c r="P998" s="272"/>
      <c r="Q998" s="288"/>
      <c r="R998" s="300"/>
      <c r="S998" s="284"/>
      <c r="T998" s="324"/>
      <c r="U998" s="250">
        <f t="shared" si="206"/>
        <v>74684</v>
      </c>
      <c r="V998" s="250">
        <v>74684</v>
      </c>
      <c r="W998" s="250">
        <v>74684</v>
      </c>
      <c r="X998" s="250">
        <v>74684</v>
      </c>
      <c r="Y998" s="293">
        <v>75300</v>
      </c>
      <c r="Z998" s="294"/>
      <c r="AA998" s="251"/>
      <c r="AB998" s="251"/>
    </row>
    <row r="999" spans="1:28" s="295" customFormat="1" ht="29.25" customHeight="1">
      <c r="A999" s="325">
        <v>825</v>
      </c>
      <c r="B999" s="325">
        <v>0</v>
      </c>
      <c r="C999" s="325" t="s">
        <v>552</v>
      </c>
      <c r="D999" s="325" t="s">
        <v>3768</v>
      </c>
      <c r="E999" s="326" t="s">
        <v>77</v>
      </c>
      <c r="F999" s="327" t="s">
        <v>553</v>
      </c>
      <c r="G999" s="325">
        <v>220</v>
      </c>
      <c r="H999" s="325">
        <v>14</v>
      </c>
      <c r="I999" s="325">
        <v>0.95</v>
      </c>
      <c r="J999" s="328">
        <f t="shared" si="203"/>
        <v>263521.36363636365</v>
      </c>
      <c r="K999" s="329">
        <v>3.52</v>
      </c>
      <c r="L999" s="330">
        <f t="shared" si="204"/>
        <v>69744</v>
      </c>
      <c r="M999" s="329">
        <v>5</v>
      </c>
      <c r="N999" s="330">
        <f t="shared" si="205"/>
        <v>99068.18181818181</v>
      </c>
      <c r="O999" s="331"/>
      <c r="P999" s="332"/>
      <c r="Q999" s="333"/>
      <c r="R999" s="334"/>
      <c r="S999" s="325"/>
      <c r="T999" s="335"/>
      <c r="U999" s="336">
        <f t="shared" si="206"/>
        <v>432334</v>
      </c>
      <c r="V999" s="250">
        <v>432334</v>
      </c>
      <c r="W999" s="252">
        <v>432334</v>
      </c>
      <c r="X999" s="252">
        <v>432334</v>
      </c>
      <c r="Y999" s="337">
        <v>435900</v>
      </c>
      <c r="Z999" s="294"/>
      <c r="AA999" s="251"/>
      <c r="AB999" s="251"/>
    </row>
    <row r="1000" spans="1:25" ht="15.75">
      <c r="A1000" s="338"/>
      <c r="B1000" s="338"/>
      <c r="C1000" s="338"/>
      <c r="D1000" s="338"/>
      <c r="E1000" s="339"/>
      <c r="F1000" s="340"/>
      <c r="G1000" s="338"/>
      <c r="H1000" s="338"/>
      <c r="I1000" s="338"/>
      <c r="J1000" s="341"/>
      <c r="K1000" s="342"/>
      <c r="L1000" s="343"/>
      <c r="M1000" s="342"/>
      <c r="N1000" s="343"/>
      <c r="O1000" s="344"/>
      <c r="P1000" s="345"/>
      <c r="Q1000" s="346"/>
      <c r="R1000" s="347"/>
      <c r="S1000" s="338"/>
      <c r="T1000" s="348"/>
      <c r="U1000" s="253"/>
      <c r="V1000" s="253"/>
      <c r="W1000" s="253"/>
      <c r="X1000" s="253"/>
      <c r="Y1000" s="349"/>
    </row>
  </sheetData>
  <sheetProtection/>
  <autoFilter ref="A7:AA1000"/>
  <mergeCells count="13">
    <mergeCell ref="E5:E6"/>
    <mergeCell ref="F5:F6"/>
    <mergeCell ref="A5:A6"/>
    <mergeCell ref="B5:B6"/>
    <mergeCell ref="C5:C6"/>
    <mergeCell ref="D5:D6"/>
    <mergeCell ref="G5:G6"/>
    <mergeCell ref="U5:U6"/>
    <mergeCell ref="Y5:Y6"/>
    <mergeCell ref="O6:P6"/>
    <mergeCell ref="V5:V6"/>
    <mergeCell ref="W5:W6"/>
    <mergeCell ref="X5:X6"/>
  </mergeCells>
  <dataValidations count="2">
    <dataValidation allowBlank="1" showInputMessage="1" showErrorMessage="1" prompt="can kiem tra lai" sqref="T721:T722"/>
    <dataValidation allowBlank="1" showInputMessage="1" showErrorMessage="1" promptTitle="http://giaxaydung.vn" prompt="Có thể thay đổi giá tính khấu hao ở đây, sẽ thay đổi giá ca máy tương ứng." sqref="Y9"/>
  </dataValidations>
  <printOptions/>
  <pageMargins left="0.7480314960629921" right="0.2362204724409449" top="0.5118110236220472" bottom="0.5118110236220472" header="0.2362204724409449" footer="0.2362204724409449"/>
  <pageSetup horizontalDpi="600" verticalDpi="600" orientation="landscape"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Vien Kinh te xay dung - Bo Xay dung</Manager>
  <Company>GXD JSC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 toan Gia Xay Dung</dc:title>
  <dc:subject>Mau bang du toan</dc:subject>
  <dc:creator>Dự Toán XLS</dc:creator>
  <cp:keywords>Du toan, chi phi, xay dung</cp:keywords>
  <dc:description>Thong tin moi nhat, du lieu xem tai
website www.giaxaydung.vn</dc:description>
  <cp:lastModifiedBy>Dự Toán XLS</cp:lastModifiedBy>
  <cp:lastPrinted>2011-07-14T03:48:41Z</cp:lastPrinted>
  <dcterms:created xsi:type="dcterms:W3CDTF">2010-02-04T07:20:56Z</dcterms:created>
  <dcterms:modified xsi:type="dcterms:W3CDTF">2011-07-14T03:50:46Z</dcterms:modified>
  <cp:category>Phan mem du toan</cp:category>
  <cp:version/>
  <cp:contentType/>
  <cp:contentStatus/>
</cp:coreProperties>
</file>

<file path=docProps/custom.xml><?xml version="1.0" encoding="utf-8"?>
<Properties xmlns="http://schemas.openxmlformats.org/officeDocument/2006/custom-properties" xmlns:vt="http://schemas.openxmlformats.org/officeDocument/2006/docPropsVTypes"/>
</file>